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monica_wilke-brown_hhs_iowa_gov1/Documents/Desktop/Opioid stuff/AttorneyGeneral Settlement/"/>
    </mc:Choice>
  </mc:AlternateContent>
  <xr:revisionPtr revIDLastSave="410" documentId="8_{E4A348FB-FF03-4EBF-97D9-D43546054B2D}" xr6:coauthVersionLast="47" xr6:coauthVersionMax="47" xr10:uidLastSave="{EF63FF68-96A9-4960-BAB4-6AC63EF75CA0}"/>
  <bookViews>
    <workbookView xWindow="25485" yWindow="735" windowWidth="22785" windowHeight="12990" activeTab="1" xr2:uid="{0EA63C3C-030A-4245-8CA2-657EF400C16A}"/>
  </bookViews>
  <sheets>
    <sheet name="FY2023" sheetId="1" r:id="rId1"/>
    <sheet name="FY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2" l="1"/>
  <c r="C101" i="2"/>
  <c r="C100" i="2"/>
  <c r="C99" i="2"/>
  <c r="C98" i="2"/>
  <c r="E98" i="2" s="1"/>
  <c r="C97" i="2"/>
  <c r="E97" i="2"/>
  <c r="E96" i="2"/>
  <c r="C96" i="2"/>
  <c r="C95" i="2"/>
  <c r="E95" i="2" s="1"/>
  <c r="C94" i="2"/>
  <c r="C93" i="2"/>
  <c r="C92" i="2"/>
  <c r="E92" i="2" s="1"/>
  <c r="C91" i="2"/>
  <c r="C90" i="2"/>
  <c r="E90" i="2" s="1"/>
  <c r="C89" i="2"/>
  <c r="C88" i="2"/>
  <c r="E88" i="2" s="1"/>
  <c r="C87" i="2"/>
  <c r="E87" i="2" s="1"/>
  <c r="C86" i="2"/>
  <c r="C85" i="2"/>
  <c r="E85" i="2" s="1"/>
  <c r="E84" i="2"/>
  <c r="C84" i="2"/>
  <c r="E83" i="2"/>
  <c r="C83" i="2"/>
  <c r="C82" i="2"/>
  <c r="C81" i="2"/>
  <c r="E81" i="2" s="1"/>
  <c r="C80" i="2"/>
  <c r="C79" i="2"/>
  <c r="E79" i="2" s="1"/>
  <c r="C77" i="2"/>
  <c r="E77" i="2" s="1"/>
  <c r="E76" i="2"/>
  <c r="C76" i="2"/>
  <c r="C75" i="2"/>
  <c r="E75" i="2" s="1"/>
  <c r="C74" i="2"/>
  <c r="E74" i="2" s="1"/>
  <c r="C73" i="2"/>
  <c r="E73" i="2" s="1"/>
  <c r="C72" i="2"/>
  <c r="E72" i="2" s="1"/>
  <c r="C71" i="2"/>
  <c r="E71" i="2" s="1"/>
  <c r="C69" i="2"/>
  <c r="C68" i="2"/>
  <c r="E68" i="2" s="1"/>
  <c r="C67" i="2"/>
  <c r="E67" i="2" s="1"/>
  <c r="C66" i="2"/>
  <c r="C65" i="2"/>
  <c r="C64" i="2"/>
  <c r="E64" i="2" s="1"/>
  <c r="C63" i="2"/>
  <c r="E63" i="2" s="1"/>
  <c r="C62" i="2"/>
  <c r="E62" i="2" s="1"/>
  <c r="C61" i="2"/>
  <c r="C60" i="2"/>
  <c r="E60" i="2" s="1"/>
  <c r="C59" i="2"/>
  <c r="E59" i="2" s="1"/>
  <c r="E57" i="2"/>
  <c r="C57" i="2"/>
  <c r="C56" i="2"/>
  <c r="C55" i="2"/>
  <c r="E55" i="2" s="1"/>
  <c r="C54" i="2"/>
  <c r="E54" i="2" s="1"/>
  <c r="E53" i="2"/>
  <c r="C53" i="2"/>
  <c r="C52" i="2"/>
  <c r="C51" i="2"/>
  <c r="C50" i="2"/>
  <c r="E50" i="2" s="1"/>
  <c r="C49" i="2"/>
  <c r="C48" i="2"/>
  <c r="C47" i="2"/>
  <c r="E47" i="2" s="1"/>
  <c r="C46" i="2"/>
  <c r="E45" i="2"/>
  <c r="C45" i="2"/>
  <c r="C44" i="2"/>
  <c r="C43" i="2"/>
  <c r="E43" i="2" s="1"/>
  <c r="C42" i="2"/>
  <c r="C41" i="2"/>
  <c r="E41" i="2" s="1"/>
  <c r="C40" i="2"/>
  <c r="E40" i="2" s="1"/>
  <c r="C39" i="2"/>
  <c r="E39" i="2" s="1"/>
  <c r="C38" i="2"/>
  <c r="E38" i="2" s="1"/>
  <c r="C37" i="2"/>
  <c r="C36" i="2"/>
  <c r="C35" i="2"/>
  <c r="C34" i="2"/>
  <c r="C33" i="2"/>
  <c r="E33" i="2" s="1"/>
  <c r="C32" i="2"/>
  <c r="E32" i="2" s="1"/>
  <c r="C31" i="2"/>
  <c r="C30" i="2"/>
  <c r="C29" i="2"/>
  <c r="E29" i="2" s="1"/>
  <c r="C24" i="2"/>
  <c r="C28" i="2"/>
  <c r="E28" i="2" s="1"/>
  <c r="C26" i="2"/>
  <c r="E26" i="2" s="1"/>
  <c r="C25" i="2"/>
  <c r="E25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E24" i="2"/>
  <c r="C58" i="2"/>
  <c r="E78" i="2"/>
  <c r="C78" i="2"/>
  <c r="C102" i="1"/>
  <c r="C17" i="2"/>
  <c r="E17" i="2" s="1"/>
  <c r="C16" i="2"/>
  <c r="E16" i="2" s="1"/>
  <c r="C15" i="2"/>
  <c r="C14" i="2"/>
  <c r="C13" i="2"/>
  <c r="E13" i="2" s="1"/>
  <c r="C12" i="2"/>
  <c r="E12" i="2" s="1"/>
  <c r="C11" i="2"/>
  <c r="E11" i="2" s="1"/>
  <c r="C10" i="2"/>
  <c r="E10" i="2" s="1"/>
  <c r="C9" i="2"/>
  <c r="E9" i="2" s="1"/>
  <c r="C8" i="2"/>
  <c r="C7" i="2"/>
  <c r="E7" i="2"/>
  <c r="C6" i="2"/>
  <c r="E6" i="2"/>
  <c r="C5" i="2"/>
  <c r="E5" i="2"/>
  <c r="C4" i="2"/>
  <c r="C3" i="2"/>
  <c r="C2" i="2"/>
  <c r="E2" i="2" s="1"/>
  <c r="E100" i="2"/>
  <c r="E99" i="2"/>
  <c r="E94" i="2"/>
  <c r="E93" i="2"/>
  <c r="E91" i="2"/>
  <c r="E89" i="2"/>
  <c r="E86" i="2"/>
  <c r="E82" i="2"/>
  <c r="E80" i="2"/>
  <c r="E66" i="2"/>
  <c r="E65" i="2"/>
  <c r="E61" i="2"/>
  <c r="E58" i="2"/>
  <c r="E56" i="2"/>
  <c r="E52" i="2"/>
  <c r="E51" i="2"/>
  <c r="E49" i="2"/>
  <c r="E48" i="2"/>
  <c r="E46" i="2"/>
  <c r="E44" i="2"/>
  <c r="E42" i="2"/>
  <c r="E37" i="2"/>
  <c r="E36" i="2"/>
  <c r="E35" i="2"/>
  <c r="E34" i="2"/>
  <c r="E31" i="2"/>
  <c r="E30" i="2"/>
  <c r="E15" i="2"/>
  <c r="E14" i="2"/>
  <c r="E8" i="2"/>
  <c r="E4" i="2"/>
  <c r="E3" i="2"/>
  <c r="C96" i="1"/>
  <c r="C94" i="1"/>
  <c r="E94" i="1" s="1"/>
  <c r="C92" i="1"/>
  <c r="C76" i="1"/>
  <c r="C21" i="1"/>
  <c r="C36" i="1"/>
  <c r="E36" i="1" s="1"/>
  <c r="E2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4" i="1"/>
  <c r="E55" i="1"/>
  <c r="E56" i="1"/>
  <c r="E58" i="1"/>
  <c r="E59" i="1"/>
  <c r="E60" i="1"/>
  <c r="E61" i="1"/>
  <c r="E62" i="1"/>
  <c r="E63" i="1"/>
  <c r="E64" i="1"/>
  <c r="E65" i="1"/>
  <c r="E66" i="1"/>
  <c r="E67" i="1"/>
  <c r="E68" i="1"/>
  <c r="E70" i="1"/>
  <c r="E71" i="1"/>
  <c r="E72" i="1"/>
  <c r="E73" i="1"/>
  <c r="E74" i="1"/>
  <c r="E75" i="1"/>
  <c r="E77" i="1"/>
  <c r="E79" i="1"/>
  <c r="E80" i="1"/>
  <c r="E81" i="1"/>
  <c r="E82" i="1"/>
  <c r="E85" i="1"/>
  <c r="E86" i="1"/>
  <c r="E87" i="1"/>
  <c r="E88" i="1"/>
  <c r="E89" i="1"/>
  <c r="E90" i="1"/>
  <c r="E91" i="1"/>
  <c r="E92" i="1"/>
  <c r="E93" i="1"/>
  <c r="E95" i="1"/>
  <c r="E97" i="1"/>
  <c r="E98" i="1"/>
  <c r="E99" i="1"/>
  <c r="E100" i="1"/>
  <c r="E2" i="1"/>
</calcChain>
</file>

<file path=xl/sharedStrings.xml><?xml version="1.0" encoding="utf-8"?>
<sst xmlns="http://schemas.openxmlformats.org/spreadsheetml/2006/main" count="584" uniqueCount="238">
  <si>
    <t>Adair County</t>
  </si>
  <si>
    <t>Adams County</t>
  </si>
  <si>
    <t>Audubon County</t>
  </si>
  <si>
    <t>Appanoose County</t>
  </si>
  <si>
    <t>Allamakee County</t>
  </si>
  <si>
    <t>Benton County</t>
  </si>
  <si>
    <t>Black Hawk County</t>
  </si>
  <si>
    <t>Boone County</t>
  </si>
  <si>
    <t>Bremer County</t>
  </si>
  <si>
    <t>Buchanan County</t>
  </si>
  <si>
    <t>Buena Vista County</t>
  </si>
  <si>
    <t>Calhoun County</t>
  </si>
  <si>
    <t>Butler County</t>
  </si>
  <si>
    <t>Cedar County</t>
  </si>
  <si>
    <t>Carroll County</t>
  </si>
  <si>
    <t>Cerro Gordo County</t>
  </si>
  <si>
    <t>Cherokee County</t>
  </si>
  <si>
    <t>Chickasaw County</t>
  </si>
  <si>
    <t>Clarke County</t>
  </si>
  <si>
    <t>Clinton County</t>
  </si>
  <si>
    <t>Clay County</t>
  </si>
  <si>
    <t>Clayton County</t>
  </si>
  <si>
    <t>Crawford County</t>
  </si>
  <si>
    <t>Dallas County</t>
  </si>
  <si>
    <t>Delaware County</t>
  </si>
  <si>
    <t>Davis County [Reallocated back to LG Share]</t>
  </si>
  <si>
    <t>Decatur County</t>
  </si>
  <si>
    <t>Des Moines County</t>
  </si>
  <si>
    <t>Dickinson County</t>
  </si>
  <si>
    <t>Dubuque County</t>
  </si>
  <si>
    <t>Fayette County</t>
  </si>
  <si>
    <t>Emmet County</t>
  </si>
  <si>
    <t>Franklin County</t>
  </si>
  <si>
    <t>Greene County</t>
  </si>
  <si>
    <t>Fremont County</t>
  </si>
  <si>
    <t>Floyd County</t>
  </si>
  <si>
    <t>Grundy County</t>
  </si>
  <si>
    <t>Hamilton County</t>
  </si>
  <si>
    <t>Harrison County</t>
  </si>
  <si>
    <t>Hardin County</t>
  </si>
  <si>
    <t>Hancock County</t>
  </si>
  <si>
    <t>Guthrie County</t>
  </si>
  <si>
    <t>Henry County</t>
  </si>
  <si>
    <t>Howard County</t>
  </si>
  <si>
    <t>Humboldt County</t>
  </si>
  <si>
    <t>Ida County</t>
  </si>
  <si>
    <t>Jasper County</t>
  </si>
  <si>
    <t>Iowa County</t>
  </si>
  <si>
    <t>Jackson County</t>
  </si>
  <si>
    <t>Jefferson County</t>
  </si>
  <si>
    <t>Kossuth County</t>
  </si>
  <si>
    <t>Keokuk County</t>
  </si>
  <si>
    <t>Johnson County</t>
  </si>
  <si>
    <t>Jones County</t>
  </si>
  <si>
    <t>Lee County</t>
  </si>
  <si>
    <t>Linn County</t>
  </si>
  <si>
    <t>Louisa County</t>
  </si>
  <si>
    <t>Mahaska County</t>
  </si>
  <si>
    <t>Lyon County</t>
  </si>
  <si>
    <t>Lucas County</t>
  </si>
  <si>
    <t>Madison County</t>
  </si>
  <si>
    <t>Marion County</t>
  </si>
  <si>
    <t>Mills County</t>
  </si>
  <si>
    <t>Monona County</t>
  </si>
  <si>
    <t>Mitchell County</t>
  </si>
  <si>
    <t>Marshall County</t>
  </si>
  <si>
    <t>Muscatine County</t>
  </si>
  <si>
    <t>Osceola County</t>
  </si>
  <si>
    <t>Monroe County</t>
  </si>
  <si>
    <t>Page County</t>
  </si>
  <si>
    <t>Plymouth County</t>
  </si>
  <si>
    <t>Polk County</t>
  </si>
  <si>
    <t>Palo Alto County</t>
  </si>
  <si>
    <t>Pocahontas County</t>
  </si>
  <si>
    <t>Poweshiek County</t>
  </si>
  <si>
    <t>Pottawattamie County</t>
  </si>
  <si>
    <t>Ringgold County</t>
  </si>
  <si>
    <t>Scott County</t>
  </si>
  <si>
    <t>Tama County</t>
  </si>
  <si>
    <t>Shelby County</t>
  </si>
  <si>
    <t>Sac County</t>
  </si>
  <si>
    <t>Sioux County</t>
  </si>
  <si>
    <t>Story County</t>
  </si>
  <si>
    <t>Van Buren County</t>
  </si>
  <si>
    <t>Taylor County</t>
  </si>
  <si>
    <t>Union County</t>
  </si>
  <si>
    <t>Wapello County</t>
  </si>
  <si>
    <t>Washington County</t>
  </si>
  <si>
    <t>Webster County</t>
  </si>
  <si>
    <t>Warren County</t>
  </si>
  <si>
    <t>Wayne County</t>
  </si>
  <si>
    <t>Winnebago County</t>
  </si>
  <si>
    <t>Woodbury County</t>
  </si>
  <si>
    <t>Worth County</t>
  </si>
  <si>
    <t>Winneshiek County</t>
  </si>
  <si>
    <t>Wright County</t>
  </si>
  <si>
    <t>County</t>
  </si>
  <si>
    <t>X</t>
  </si>
  <si>
    <t>O'Brien County</t>
  </si>
  <si>
    <t>N/A</t>
  </si>
  <si>
    <t>Montgomery County [Jointly with Cass]</t>
  </si>
  <si>
    <t>Cass County [Jointly with Montgomery]</t>
  </si>
  <si>
    <t>Funds Received</t>
  </si>
  <si>
    <t>Fund Expenditures</t>
  </si>
  <si>
    <t>Funds Remaining</t>
  </si>
  <si>
    <t>* ending balnce contains interest</t>
  </si>
  <si>
    <t>* ending balance differs from funds received (potentially interest?)</t>
  </si>
  <si>
    <t>* funds received includes balance at start of reporting year (10,865.75)</t>
  </si>
  <si>
    <t>* ending balance includes interest</t>
  </si>
  <si>
    <t>* funds received includes balance at start of reporting year (74,949.87) and ending balance differs from funds received</t>
  </si>
  <si>
    <t>* ending balance is not difference between funds received and expenditures (difference is 15,523.97)</t>
  </si>
  <si>
    <t>* funds received is 1,741,435.01 (accrual basis) or 1,491,541.45 (cash)</t>
  </si>
  <si>
    <t>* potential error? The difference would be 44,413.24</t>
  </si>
  <si>
    <t>* funds received includes balance at start of reporting year (1,300.00)</t>
  </si>
  <si>
    <t>* funds received includes balance at start of reporting year (26,290.20)</t>
  </si>
  <si>
    <t xml:space="preserve">* funds received includes balance at start of reporting year (393959.62); there is likely an error with the beginning balance, ending balance, or funds received since there is a large unexplanable difference. </t>
  </si>
  <si>
    <t>Use / Activitiy 1</t>
  </si>
  <si>
    <t>Use / Activitiy 2</t>
  </si>
  <si>
    <t>Schedule B (Approved Uses): H (13)</t>
  </si>
  <si>
    <t>Use / Activitiy 3</t>
  </si>
  <si>
    <t>Use / Activitiy 4</t>
  </si>
  <si>
    <t>Schedule B (Approved Uses): H (1)</t>
  </si>
  <si>
    <t>Prevention/Education</t>
  </si>
  <si>
    <t>Schedule A (Core Stategies): G (1)</t>
  </si>
  <si>
    <t xml:space="preserve">Schedule A (Core Stategies): G </t>
  </si>
  <si>
    <t>Schedule A (Core Stategies): G (4)</t>
  </si>
  <si>
    <t>Schedule A (Core Stategies): A ("Naloxone distribution" - could also be schedule 2 H)</t>
  </si>
  <si>
    <t>Schedule B (Approved Uses): D (3, 7) &amp; K</t>
  </si>
  <si>
    <t>Schedule B (Approved Uses): K</t>
  </si>
  <si>
    <t>Schedule B (Approved Uses): B</t>
  </si>
  <si>
    <t>Schedule B (Approved Uses): J &amp; K</t>
  </si>
  <si>
    <t>Schedule B (Approved Uses): H</t>
  </si>
  <si>
    <t>Notes on Use</t>
  </si>
  <si>
    <t>Travel expenses</t>
  </si>
  <si>
    <t>Schedule B (Approved Uses): G</t>
  </si>
  <si>
    <t>Schedule B (Approved Uses): A (1)</t>
  </si>
  <si>
    <t>Schedule B (Approved Uses): K (1)</t>
  </si>
  <si>
    <t>Schedule B (Approved Uses): G (2)</t>
  </si>
  <si>
    <t>Hire peer support specialsit for House of Mercy</t>
  </si>
  <si>
    <t xml:space="preserve">Schedule B (Approved Uses): A &amp; B? </t>
  </si>
  <si>
    <t>Schedule B (Approved Uses): A.5, A.8, B.7, C.9, D.3, H.3, H.8, H.12, I.1, I.2, J.3, K.1, &amp; K.2</t>
  </si>
  <si>
    <t>Administration</t>
  </si>
  <si>
    <t>Schedule B (Approved Uses): H?</t>
  </si>
  <si>
    <t>Safety Equipment</t>
  </si>
  <si>
    <t>?</t>
  </si>
  <si>
    <t>Wire Transfer Fee</t>
  </si>
  <si>
    <t>Schedule B (Approved Uses): G(1)</t>
  </si>
  <si>
    <t>Schedule B (Approved Uses): G(3)</t>
  </si>
  <si>
    <t>Schedule B (Approved Uses): G(4)</t>
  </si>
  <si>
    <t>Potentially switch G.3 and G.4</t>
  </si>
  <si>
    <t>Schedule A (Core Stategies): A</t>
  </si>
  <si>
    <t>Schedule B (Approved Uses): J(1)</t>
  </si>
  <si>
    <t>Schedule B (Approved Uses): H(1)</t>
  </si>
  <si>
    <t>Schedule B (Approved Uses): A(1)</t>
  </si>
  <si>
    <t>Schedule B (Approved Uses): A(1)?</t>
  </si>
  <si>
    <t>Schedule B (Approved Uses): E(1/2)?</t>
  </si>
  <si>
    <t>B1?</t>
  </si>
  <si>
    <t>Notes / Potential Errors</t>
  </si>
  <si>
    <t xml:space="preserve">Report that 53 students served by Crossroads BH </t>
  </si>
  <si>
    <t>G.: Prevention Programs</t>
  </si>
  <si>
    <t>Provided to Crossroads Mental Health for prevention in Southwest Valley School Distric</t>
  </si>
  <si>
    <t>Interest included = 923.70 but totals don't match</t>
  </si>
  <si>
    <t>$1500 to DARE via local LE, and $34576.34 to support prevention coalition efforts</t>
  </si>
  <si>
    <t>Part II, G.</t>
  </si>
  <si>
    <t>Part III, K.</t>
  </si>
  <si>
    <t>starting balance greater than last year</t>
  </si>
  <si>
    <t>F.1 and 2 Treatment for incarcerated Population</t>
  </si>
  <si>
    <t>E.4 Wrap around services for recovery</t>
  </si>
  <si>
    <t>$58949.32 to Pathways BS substance abuse services in Black Hawk County Jail, $126092 to Momentum program for work readiness</t>
  </si>
  <si>
    <t xml:space="preserve">1, First responders </t>
  </si>
  <si>
    <t>G. Prevention Programs</t>
  </si>
  <si>
    <t>$39,204 for TruNarc for Sheriff's office safety efforts, $9400 for training, and $80k for YSS for EBP in Boone schools</t>
  </si>
  <si>
    <t>269,397.56 Final balance greater than sum</t>
  </si>
  <si>
    <t>interest included= $3090.73</t>
  </si>
  <si>
    <t>Prevention</t>
  </si>
  <si>
    <t xml:space="preserve">$805.95 purchase of Deterra drug disposal pouches distributed by coalition volunteers, $732.47 for purchase of prevention curriculum Too Good for Drugs workbooks, </t>
  </si>
  <si>
    <t>Leadership ($264 for poster and display)</t>
  </si>
  <si>
    <t>Interest included $2506.68</t>
  </si>
  <si>
    <t>Naloxone</t>
  </si>
  <si>
    <t>Trainings in 3 cities, staff training on Narcan</t>
  </si>
  <si>
    <t>Core G</t>
  </si>
  <si>
    <t>Schedule B (Core Stategies): B:1, G (1)</t>
  </si>
  <si>
    <t>J. Leadership, Planning and Coordination</t>
  </si>
  <si>
    <t>Admin, Naloxone, MAT, warm hand-off</t>
  </si>
  <si>
    <t>2593.55 Interest included</t>
  </si>
  <si>
    <t>1067.58 interest included in total</t>
  </si>
  <si>
    <t>K. Training</t>
  </si>
  <si>
    <t>K.2. Support Infrastructure and staff</t>
  </si>
  <si>
    <t>Total doesn’t match math- total $542,221.6 detail shows interest and NOAT(?)</t>
  </si>
  <si>
    <t>A task force has been created per Nov. 2024 note, to explore how to expend the funds</t>
  </si>
  <si>
    <t>total balance reported $140,351.91</t>
  </si>
  <si>
    <t>total balance reported $571822.42</t>
  </si>
  <si>
    <t>Treatment, Recovery, Crim Justice, Prevention</t>
  </si>
  <si>
    <t>see notes</t>
  </si>
  <si>
    <t>Total balance reported $1000296.52</t>
  </si>
  <si>
    <t>Naloxone staff hired</t>
  </si>
  <si>
    <t>Schedule B (Approved Uses):G Prevention</t>
  </si>
  <si>
    <t>Discovery House in Spirit Lake</t>
  </si>
  <si>
    <t>G Prevention</t>
  </si>
  <si>
    <t>County coalition</t>
  </si>
  <si>
    <t>New Opportunities</t>
  </si>
  <si>
    <t>Sect. A</t>
  </si>
  <si>
    <t>* 143831.67 ending balnce contains interest</t>
  </si>
  <si>
    <t>Prevention Program</t>
  </si>
  <si>
    <t>*includes interest</t>
  </si>
  <si>
    <t>*38542.03 total noted</t>
  </si>
  <si>
    <t>Schedule 5 Section I, 1&amp;2</t>
  </si>
  <si>
    <t>Sched A-F 1&amp;2</t>
  </si>
  <si>
    <t>Schedule B (Approved Uses): E-5 E2 Hire additional workers</t>
  </si>
  <si>
    <t>Schedule B (Approved Uses): C</t>
  </si>
  <si>
    <t>Multiple awards to various agencies</t>
  </si>
  <si>
    <t>Data collection</t>
  </si>
  <si>
    <t>* ending balance does not match: report says $602,796.13</t>
  </si>
  <si>
    <t>Talbot house in Keokuk transition home</t>
  </si>
  <si>
    <t>Schedule B (Approved Uses): G(2)</t>
  </si>
  <si>
    <t>G3</t>
  </si>
  <si>
    <t>*ending balance does not match: reports $88,978</t>
  </si>
  <si>
    <t>Montgomery County [Jointly with Cass] see above</t>
  </si>
  <si>
    <t>Hoping PH admin will do something soon</t>
  </si>
  <si>
    <t>Drug court</t>
  </si>
  <si>
    <t>Exhibit E, Sched A Subsec1</t>
  </si>
  <si>
    <t>Data collection and research analysis</t>
  </si>
  <si>
    <t>Notes provided</t>
  </si>
  <si>
    <t>Sched A, G-2</t>
  </si>
  <si>
    <t>Sched B, E7, E-8, K-1</t>
  </si>
  <si>
    <t xml:space="preserve">Prevention </t>
  </si>
  <si>
    <t>Media and locking pill bottles</t>
  </si>
  <si>
    <t>Sched A, E-5</t>
  </si>
  <si>
    <t>G. Prevention</t>
  </si>
  <si>
    <t>Sec H. 11</t>
  </si>
  <si>
    <t>Treatment and Recovery</t>
  </si>
  <si>
    <t>Sched A Naloxone</t>
  </si>
  <si>
    <t>Sched B Sect B</t>
  </si>
  <si>
    <t>Sched A Sect E, F, I</t>
  </si>
  <si>
    <t>G &amp; I</t>
  </si>
  <si>
    <t>B-2</t>
  </si>
  <si>
    <t>Schedule B (Approved Uses): E(1-2)</t>
  </si>
  <si>
    <t>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</si>
</sst>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44" fontId="0" fillId="0" borderId="0" xfId="1" applyFont="1"/>
    <xf numFmtId="0" fontId="0" fillId="0" borderId="0" xfId="1" applyNumberFormat="1" applyFont="1"/>
    <xf numFmtId="44" fontId="0" fillId="0" borderId="0" xfId="0" applyNumberFormat="1"/>
    <xf numFmtId="0" fontId="0" fillId="2" borderId="0" xfId="0" applyFill="1"/>
    <xf numFmtId="44" fontId="0" fillId="2" borderId="0" xfId="0" applyNumberFormat="1" applyFill="1"/>
    <xf numFmtId="44" fontId="0" fillId="0" borderId="0" xfId="1" applyFont="1" applyFill="1"/>
    <xf numFmtId="0" fontId="2" fillId="0" borderId="0" xfId="0" applyFont="1" applyFill="1"/>
    <xf numFmtId="0" fontId="0" fillId="0" borderId="0" xfId="0" applyFill="1"/>
    <xf numFmtId="0" fontId="0" fillId="0" borderId="0" xfId="1" applyNumberFormat="1" applyFont="1" applyFill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08DA-D6C5-6A4F-A4C5-569CD0E46707}">
  <dimension ref="A1:K102"/>
  <sheetViews>
    <sheetView workbookViewId="0">
      <selection activeCell="D100" sqref="D2:D100"/>
    </sheetView>
  </sheetViews>
  <sheetFormatPr defaultColWidth="11" defaultRowHeight="15.75" x14ac:dyDescent="0.25"/>
  <cols>
    <col min="1" max="1" width="38.125" bestFit="1" customWidth="1"/>
    <col min="3" max="3" width="14.75" bestFit="1" customWidth="1"/>
    <col min="4" max="4" width="16.125" bestFit="1" customWidth="1"/>
    <col min="5" max="5" width="15" customWidth="1"/>
    <col min="6" max="6" width="21.625" customWidth="1"/>
    <col min="7" max="7" width="17.875" bestFit="1" customWidth="1"/>
    <col min="8" max="9" width="13.875" customWidth="1"/>
    <col min="10" max="10" width="14.375" customWidth="1"/>
  </cols>
  <sheetData>
    <row r="1" spans="1:11" x14ac:dyDescent="0.25">
      <c r="A1" s="2" t="s">
        <v>96</v>
      </c>
      <c r="C1" t="s">
        <v>102</v>
      </c>
      <c r="D1" t="s">
        <v>103</v>
      </c>
      <c r="E1" t="s">
        <v>104</v>
      </c>
      <c r="F1" t="s">
        <v>157</v>
      </c>
      <c r="G1" t="s">
        <v>116</v>
      </c>
      <c r="H1" t="s">
        <v>117</v>
      </c>
      <c r="I1" t="s">
        <v>119</v>
      </c>
      <c r="J1" t="s">
        <v>120</v>
      </c>
      <c r="K1" t="s">
        <v>132</v>
      </c>
    </row>
    <row r="2" spans="1:11" x14ac:dyDescent="0.25">
      <c r="A2" s="1" t="s">
        <v>0</v>
      </c>
      <c r="B2" t="s">
        <v>97</v>
      </c>
      <c r="C2" s="3">
        <v>43037.37</v>
      </c>
      <c r="D2" s="3">
        <v>0</v>
      </c>
      <c r="E2" s="3">
        <f>C2-D2</f>
        <v>43037.37</v>
      </c>
    </row>
    <row r="3" spans="1:11" x14ac:dyDescent="0.25">
      <c r="A3" s="1" t="s">
        <v>1</v>
      </c>
      <c r="B3" t="s">
        <v>97</v>
      </c>
      <c r="C3" s="3">
        <v>18796.830000000002</v>
      </c>
      <c r="D3" s="3">
        <v>0</v>
      </c>
      <c r="E3" s="3">
        <f t="shared" ref="E3:E66" si="0">C3-D3</f>
        <v>18796.830000000002</v>
      </c>
    </row>
    <row r="4" spans="1:11" x14ac:dyDescent="0.25">
      <c r="A4" s="1" t="s">
        <v>4</v>
      </c>
      <c r="B4" t="s">
        <v>97</v>
      </c>
      <c r="C4" s="3">
        <v>75046.990000000005</v>
      </c>
      <c r="D4" s="3">
        <v>1100</v>
      </c>
      <c r="E4" s="3">
        <f t="shared" si="0"/>
        <v>73946.990000000005</v>
      </c>
      <c r="G4" t="s">
        <v>122</v>
      </c>
    </row>
    <row r="5" spans="1:11" x14ac:dyDescent="0.25">
      <c r="A5" s="1" t="s">
        <v>3</v>
      </c>
      <c r="B5" t="s">
        <v>97</v>
      </c>
      <c r="C5" s="3">
        <v>89538.45</v>
      </c>
      <c r="D5" s="3">
        <v>0</v>
      </c>
      <c r="E5" s="3">
        <f t="shared" si="0"/>
        <v>89538.45</v>
      </c>
    </row>
    <row r="6" spans="1:11" x14ac:dyDescent="0.25">
      <c r="A6" s="1" t="s">
        <v>2</v>
      </c>
      <c r="B6" t="s">
        <v>97</v>
      </c>
      <c r="C6" s="3">
        <v>20334.45</v>
      </c>
      <c r="D6" s="3">
        <v>0</v>
      </c>
      <c r="E6" s="3">
        <f t="shared" si="0"/>
        <v>20334.45</v>
      </c>
    </row>
    <row r="7" spans="1:11" x14ac:dyDescent="0.25">
      <c r="A7" s="1" t="s">
        <v>5</v>
      </c>
      <c r="B7" t="s">
        <v>97</v>
      </c>
      <c r="C7" s="3">
        <v>87358.81</v>
      </c>
      <c r="D7" s="3">
        <v>0</v>
      </c>
      <c r="E7" s="3">
        <f t="shared" si="0"/>
        <v>87358.81</v>
      </c>
    </row>
    <row r="8" spans="1:11" x14ac:dyDescent="0.25">
      <c r="A8" s="1" t="s">
        <v>6</v>
      </c>
      <c r="B8" t="s">
        <v>97</v>
      </c>
      <c r="C8" s="3">
        <v>562588.09</v>
      </c>
      <c r="D8" s="3">
        <v>0</v>
      </c>
      <c r="E8" s="3">
        <f t="shared" si="0"/>
        <v>562588.09</v>
      </c>
    </row>
    <row r="9" spans="1:11" x14ac:dyDescent="0.25">
      <c r="A9" s="1" t="s">
        <v>7</v>
      </c>
      <c r="B9" t="s">
        <v>97</v>
      </c>
      <c r="C9" s="3">
        <v>138515.93</v>
      </c>
      <c r="D9" s="3">
        <v>0</v>
      </c>
      <c r="E9" s="3">
        <f t="shared" si="0"/>
        <v>138515.93</v>
      </c>
    </row>
    <row r="10" spans="1:11" x14ac:dyDescent="0.25">
      <c r="A10" s="1" t="s">
        <v>8</v>
      </c>
      <c r="B10" t="s">
        <v>97</v>
      </c>
      <c r="C10" s="3">
        <v>123096.49</v>
      </c>
      <c r="D10" s="3">
        <v>0</v>
      </c>
      <c r="E10" s="3">
        <f t="shared" si="0"/>
        <v>123096.49</v>
      </c>
    </row>
    <row r="11" spans="1:11" x14ac:dyDescent="0.25">
      <c r="A11" s="1" t="s">
        <v>9</v>
      </c>
      <c r="B11" t="s">
        <v>97</v>
      </c>
      <c r="C11" s="3">
        <v>63458.16</v>
      </c>
      <c r="D11" s="3">
        <v>0</v>
      </c>
      <c r="E11" s="3">
        <f t="shared" si="0"/>
        <v>63458.16</v>
      </c>
    </row>
    <row r="12" spans="1:11" x14ac:dyDescent="0.25">
      <c r="A12" s="1" t="s">
        <v>10</v>
      </c>
      <c r="B12" t="s">
        <v>97</v>
      </c>
      <c r="C12" s="3">
        <v>55036.26</v>
      </c>
      <c r="D12" s="3">
        <v>0</v>
      </c>
      <c r="E12" s="3">
        <f t="shared" si="0"/>
        <v>55036.26</v>
      </c>
    </row>
    <row r="13" spans="1:11" x14ac:dyDescent="0.25">
      <c r="A13" s="1" t="s">
        <v>12</v>
      </c>
      <c r="B13" t="s">
        <v>97</v>
      </c>
      <c r="C13" s="3">
        <v>45573.1</v>
      </c>
      <c r="D13" s="3">
        <v>0</v>
      </c>
      <c r="E13" s="3">
        <f t="shared" si="0"/>
        <v>45573.1</v>
      </c>
    </row>
    <row r="14" spans="1:11" x14ac:dyDescent="0.25">
      <c r="A14" s="1" t="s">
        <v>11</v>
      </c>
      <c r="B14" t="s">
        <v>97</v>
      </c>
      <c r="C14" s="3">
        <v>35521.910000000003</v>
      </c>
      <c r="D14" s="3">
        <v>0</v>
      </c>
      <c r="E14" s="3">
        <f t="shared" si="0"/>
        <v>35521.910000000003</v>
      </c>
    </row>
    <row r="15" spans="1:11" x14ac:dyDescent="0.25">
      <c r="A15" s="1" t="s">
        <v>14</v>
      </c>
      <c r="B15" t="s">
        <v>97</v>
      </c>
      <c r="C15" s="3">
        <v>101698.42</v>
      </c>
      <c r="D15" s="3">
        <v>0</v>
      </c>
      <c r="E15" s="3">
        <f t="shared" si="0"/>
        <v>101698.42</v>
      </c>
    </row>
    <row r="16" spans="1:11" x14ac:dyDescent="0.25">
      <c r="A16" s="1" t="s">
        <v>101</v>
      </c>
      <c r="B16" t="s">
        <v>97</v>
      </c>
      <c r="C16" s="3">
        <v>145858.78</v>
      </c>
      <c r="D16" s="3">
        <v>145858.78</v>
      </c>
      <c r="E16" s="3">
        <f t="shared" si="0"/>
        <v>0</v>
      </c>
      <c r="G16" t="s">
        <v>124</v>
      </c>
      <c r="H16" t="s">
        <v>118</v>
      </c>
      <c r="I16" t="s">
        <v>121</v>
      </c>
      <c r="J16" t="s">
        <v>123</v>
      </c>
    </row>
    <row r="17" spans="1:11" x14ac:dyDescent="0.25">
      <c r="A17" s="1" t="s">
        <v>13</v>
      </c>
      <c r="B17" t="s">
        <v>97</v>
      </c>
      <c r="C17" s="3">
        <v>61526.66</v>
      </c>
      <c r="D17" s="3">
        <v>6435</v>
      </c>
      <c r="E17" s="3">
        <f t="shared" si="0"/>
        <v>55091.66</v>
      </c>
      <c r="G17" t="s">
        <v>125</v>
      </c>
    </row>
    <row r="18" spans="1:11" x14ac:dyDescent="0.25">
      <c r="A18" s="1" t="s">
        <v>15</v>
      </c>
      <c r="B18" t="s">
        <v>97</v>
      </c>
      <c r="C18" s="3">
        <v>274409.78000000003</v>
      </c>
      <c r="D18" s="3">
        <v>24273.72</v>
      </c>
      <c r="E18" s="3">
        <f t="shared" si="0"/>
        <v>250136.06000000003</v>
      </c>
      <c r="G18" t="s">
        <v>126</v>
      </c>
    </row>
    <row r="19" spans="1:11" x14ac:dyDescent="0.25">
      <c r="A19" s="1" t="s">
        <v>16</v>
      </c>
      <c r="B19" t="s">
        <v>97</v>
      </c>
      <c r="C19" s="3">
        <v>40032.269999999997</v>
      </c>
      <c r="D19" s="3">
        <v>0</v>
      </c>
      <c r="E19" s="3">
        <f t="shared" si="0"/>
        <v>40032.269999999997</v>
      </c>
    </row>
    <row r="20" spans="1:11" x14ac:dyDescent="0.25">
      <c r="A20" s="1" t="s">
        <v>17</v>
      </c>
      <c r="B20" t="s">
        <v>97</v>
      </c>
      <c r="C20" s="3">
        <v>40922.46</v>
      </c>
      <c r="D20" s="3">
        <v>0</v>
      </c>
      <c r="E20" s="3">
        <f t="shared" si="0"/>
        <v>40922.46</v>
      </c>
    </row>
    <row r="21" spans="1:11" x14ac:dyDescent="0.25">
      <c r="A21" s="1" t="s">
        <v>18</v>
      </c>
      <c r="B21" t="s">
        <v>97</v>
      </c>
      <c r="C21" s="3">
        <f>10865.75+51270.43</f>
        <v>62136.18</v>
      </c>
      <c r="D21" s="3">
        <v>0</v>
      </c>
      <c r="E21" s="3">
        <f t="shared" si="0"/>
        <v>62136.18</v>
      </c>
      <c r="F21" t="s">
        <v>107</v>
      </c>
    </row>
    <row r="22" spans="1:11" x14ac:dyDescent="0.25">
      <c r="A22" s="1" t="s">
        <v>20</v>
      </c>
      <c r="B22" t="s">
        <v>97</v>
      </c>
      <c r="C22" s="3">
        <v>50203.47</v>
      </c>
      <c r="D22" s="3">
        <v>3505.72</v>
      </c>
      <c r="E22" s="3">
        <f t="shared" si="0"/>
        <v>46697.75</v>
      </c>
      <c r="G22" t="s">
        <v>127</v>
      </c>
      <c r="H22" t="s">
        <v>127</v>
      </c>
    </row>
    <row r="23" spans="1:11" x14ac:dyDescent="0.25">
      <c r="A23" s="1" t="s">
        <v>21</v>
      </c>
      <c r="B23" t="s">
        <v>97</v>
      </c>
      <c r="C23" s="3">
        <v>76980.259999999995</v>
      </c>
      <c r="D23" s="3">
        <v>0</v>
      </c>
      <c r="E23" s="3">
        <f t="shared" si="0"/>
        <v>76980.259999999995</v>
      </c>
    </row>
    <row r="24" spans="1:11" x14ac:dyDescent="0.25">
      <c r="A24" s="1" t="s">
        <v>19</v>
      </c>
      <c r="B24" t="s">
        <v>97</v>
      </c>
      <c r="C24" s="3">
        <v>245513.19</v>
      </c>
      <c r="D24" s="3">
        <v>0</v>
      </c>
      <c r="E24" s="3">
        <f t="shared" si="0"/>
        <v>245513.19</v>
      </c>
    </row>
    <row r="25" spans="1:11" x14ac:dyDescent="0.25">
      <c r="A25" s="1" t="s">
        <v>22</v>
      </c>
      <c r="B25" t="s">
        <v>97</v>
      </c>
      <c r="C25" s="3">
        <v>56348.99</v>
      </c>
      <c r="D25" s="3">
        <v>0</v>
      </c>
      <c r="E25" s="3">
        <f t="shared" si="0"/>
        <v>56348.99</v>
      </c>
    </row>
    <row r="26" spans="1:11" x14ac:dyDescent="0.25">
      <c r="A26" s="1" t="s">
        <v>23</v>
      </c>
      <c r="B26" t="s">
        <v>97</v>
      </c>
      <c r="C26" s="3">
        <v>248707.15</v>
      </c>
      <c r="D26" s="3">
        <v>0</v>
      </c>
      <c r="E26" s="3">
        <f t="shared" si="0"/>
        <v>248707.15</v>
      </c>
    </row>
    <row r="27" spans="1:11" x14ac:dyDescent="0.25">
      <c r="A27" s="1" t="s">
        <v>25</v>
      </c>
      <c r="B27" t="s">
        <v>99</v>
      </c>
      <c r="C27" s="3"/>
      <c r="D27" s="3"/>
      <c r="E27" s="4"/>
    </row>
    <row r="28" spans="1:11" x14ac:dyDescent="0.25">
      <c r="A28" s="1" t="s">
        <v>26</v>
      </c>
      <c r="B28" t="s">
        <v>97</v>
      </c>
      <c r="C28" s="3">
        <v>42611.15</v>
      </c>
      <c r="D28" s="3">
        <v>80.3</v>
      </c>
      <c r="E28" s="3">
        <f t="shared" si="0"/>
        <v>42530.85</v>
      </c>
      <c r="G28" t="s">
        <v>128</v>
      </c>
      <c r="K28" t="s">
        <v>133</v>
      </c>
    </row>
    <row r="29" spans="1:11" x14ac:dyDescent="0.25">
      <c r="A29" s="1" t="s">
        <v>24</v>
      </c>
      <c r="B29" t="s">
        <v>97</v>
      </c>
      <c r="C29" s="3">
        <v>50845.98</v>
      </c>
      <c r="D29" s="3">
        <v>0</v>
      </c>
      <c r="E29" s="3">
        <f t="shared" si="0"/>
        <v>50845.98</v>
      </c>
    </row>
    <row r="30" spans="1:11" x14ac:dyDescent="0.25">
      <c r="A30" s="1" t="s">
        <v>27</v>
      </c>
      <c r="B30" t="s">
        <v>97</v>
      </c>
      <c r="C30" s="3">
        <v>263921.59999999998</v>
      </c>
      <c r="D30" s="3">
        <v>0</v>
      </c>
      <c r="E30" s="3">
        <f t="shared" si="0"/>
        <v>263921.59999999998</v>
      </c>
    </row>
    <row r="31" spans="1:11" x14ac:dyDescent="0.25">
      <c r="A31" s="1" t="s">
        <v>28</v>
      </c>
      <c r="B31" t="s">
        <v>97</v>
      </c>
      <c r="C31" s="3">
        <v>55881.06</v>
      </c>
      <c r="D31" s="3">
        <v>446.21</v>
      </c>
      <c r="E31" s="3">
        <f t="shared" si="0"/>
        <v>55434.85</v>
      </c>
      <c r="G31" t="s">
        <v>129</v>
      </c>
    </row>
    <row r="32" spans="1:11" x14ac:dyDescent="0.25">
      <c r="A32" s="1" t="s">
        <v>29</v>
      </c>
      <c r="B32" t="s">
        <v>97</v>
      </c>
      <c r="C32" s="3">
        <v>462108.2</v>
      </c>
      <c r="D32" s="3">
        <v>0</v>
      </c>
      <c r="E32" s="3">
        <f t="shared" si="0"/>
        <v>462108.2</v>
      </c>
    </row>
    <row r="33" spans="1:11" x14ac:dyDescent="0.25">
      <c r="A33" s="1" t="s">
        <v>31</v>
      </c>
      <c r="B33" t="s">
        <v>97</v>
      </c>
      <c r="C33" s="3">
        <v>29511.65</v>
      </c>
      <c r="D33" s="3">
        <v>290.83999999999997</v>
      </c>
      <c r="E33" s="3">
        <f t="shared" si="0"/>
        <v>29220.81</v>
      </c>
      <c r="G33" t="s">
        <v>130</v>
      </c>
      <c r="K33" t="s">
        <v>133</v>
      </c>
    </row>
    <row r="34" spans="1:11" x14ac:dyDescent="0.25">
      <c r="A34" s="1" t="s">
        <v>30</v>
      </c>
      <c r="B34" t="s">
        <v>97</v>
      </c>
      <c r="C34" s="3">
        <v>89950.37</v>
      </c>
      <c r="D34" s="3">
        <v>0</v>
      </c>
      <c r="E34" s="3">
        <f t="shared" si="0"/>
        <v>89950.37</v>
      </c>
    </row>
    <row r="35" spans="1:11" x14ac:dyDescent="0.25">
      <c r="A35" s="1" t="s">
        <v>35</v>
      </c>
      <c r="B35" t="s">
        <v>97</v>
      </c>
      <c r="C35" s="3">
        <v>55300.63</v>
      </c>
      <c r="D35" s="3">
        <v>0</v>
      </c>
      <c r="E35" s="3">
        <f t="shared" si="0"/>
        <v>55300.63</v>
      </c>
    </row>
    <row r="36" spans="1:11" x14ac:dyDescent="0.25">
      <c r="A36" s="1" t="s">
        <v>32</v>
      </c>
      <c r="B36" t="s">
        <v>97</v>
      </c>
      <c r="C36" s="3">
        <f>5637.27+1197.83+22699.2+5933.63</f>
        <v>35467.93</v>
      </c>
      <c r="D36" s="3">
        <v>0</v>
      </c>
      <c r="E36" s="3">
        <f t="shared" si="0"/>
        <v>35467.93</v>
      </c>
    </row>
    <row r="37" spans="1:11" x14ac:dyDescent="0.25">
      <c r="A37" s="1" t="s">
        <v>34</v>
      </c>
      <c r="B37" t="s">
        <v>97</v>
      </c>
      <c r="C37" s="3">
        <v>34469.83</v>
      </c>
      <c r="D37" s="3">
        <v>0</v>
      </c>
      <c r="E37" s="3">
        <f t="shared" si="0"/>
        <v>34469.83</v>
      </c>
    </row>
    <row r="38" spans="1:11" x14ac:dyDescent="0.25">
      <c r="A38" s="1" t="s">
        <v>33</v>
      </c>
      <c r="B38" t="s">
        <v>97</v>
      </c>
      <c r="C38" s="3">
        <v>60231.82</v>
      </c>
      <c r="D38" s="3">
        <v>0</v>
      </c>
      <c r="E38" s="3">
        <f t="shared" si="0"/>
        <v>60231.82</v>
      </c>
    </row>
    <row r="39" spans="1:11" x14ac:dyDescent="0.25">
      <c r="A39" s="1" t="s">
        <v>36</v>
      </c>
      <c r="B39" t="s">
        <v>97</v>
      </c>
      <c r="C39" s="3">
        <v>54556.31</v>
      </c>
      <c r="D39" s="3">
        <v>0</v>
      </c>
      <c r="E39" s="3">
        <f t="shared" si="0"/>
        <v>54556.31</v>
      </c>
    </row>
    <row r="40" spans="1:11" x14ac:dyDescent="0.25">
      <c r="A40" s="1" t="s">
        <v>41</v>
      </c>
      <c r="B40" t="s">
        <v>97</v>
      </c>
      <c r="C40" s="3">
        <v>38856.089999999997</v>
      </c>
      <c r="D40" s="3">
        <v>0</v>
      </c>
      <c r="E40" s="3">
        <f t="shared" si="0"/>
        <v>38856.089999999997</v>
      </c>
    </row>
    <row r="41" spans="1:11" x14ac:dyDescent="0.25">
      <c r="A41" s="1" t="s">
        <v>37</v>
      </c>
      <c r="B41" t="s">
        <v>97</v>
      </c>
      <c r="C41" s="3">
        <v>58942.37</v>
      </c>
      <c r="D41" s="3">
        <v>0</v>
      </c>
      <c r="E41" s="3">
        <f t="shared" si="0"/>
        <v>58942.37</v>
      </c>
    </row>
    <row r="42" spans="1:11" x14ac:dyDescent="0.25">
      <c r="A42" s="1" t="s">
        <v>40</v>
      </c>
      <c r="B42" t="s">
        <v>97</v>
      </c>
      <c r="C42" s="3">
        <v>31998.82</v>
      </c>
      <c r="D42" s="3">
        <v>0</v>
      </c>
      <c r="E42" s="3">
        <f t="shared" si="0"/>
        <v>31998.82</v>
      </c>
    </row>
    <row r="43" spans="1:11" x14ac:dyDescent="0.25">
      <c r="A43" s="1" t="s">
        <v>39</v>
      </c>
      <c r="B43" t="s">
        <v>97</v>
      </c>
      <c r="C43" s="3">
        <v>75597.289999999994</v>
      </c>
      <c r="D43" s="3">
        <v>0</v>
      </c>
      <c r="E43" s="3">
        <f t="shared" si="0"/>
        <v>75597.289999999994</v>
      </c>
    </row>
    <row r="44" spans="1:11" x14ac:dyDescent="0.25">
      <c r="A44" s="1" t="s">
        <v>38</v>
      </c>
      <c r="B44" t="s">
        <v>97</v>
      </c>
      <c r="C44" s="3">
        <v>103967.16</v>
      </c>
      <c r="D44" s="3">
        <v>0</v>
      </c>
      <c r="E44" s="3">
        <f t="shared" si="0"/>
        <v>103967.16</v>
      </c>
    </row>
    <row r="45" spans="1:11" x14ac:dyDescent="0.25">
      <c r="A45" s="1" t="s">
        <v>42</v>
      </c>
      <c r="B45" t="s">
        <v>97</v>
      </c>
      <c r="C45" s="3">
        <v>74922.899999999994</v>
      </c>
      <c r="D45" s="3">
        <v>17100.79</v>
      </c>
      <c r="E45" s="3">
        <v>59041.52</v>
      </c>
      <c r="F45" t="s">
        <v>105</v>
      </c>
      <c r="G45" t="s">
        <v>131</v>
      </c>
      <c r="H45" t="s">
        <v>134</v>
      </c>
      <c r="I45" t="s">
        <v>131</v>
      </c>
    </row>
    <row r="46" spans="1:11" x14ac:dyDescent="0.25">
      <c r="A46" s="1" t="s">
        <v>43</v>
      </c>
      <c r="B46" t="s">
        <v>97</v>
      </c>
      <c r="C46" s="3">
        <v>28853.43</v>
      </c>
      <c r="D46" s="3">
        <v>0</v>
      </c>
      <c r="E46" s="3">
        <f t="shared" si="0"/>
        <v>28853.43</v>
      </c>
    </row>
    <row r="47" spans="1:11" x14ac:dyDescent="0.25">
      <c r="A47" s="1" t="s">
        <v>44</v>
      </c>
      <c r="B47" t="s">
        <v>97</v>
      </c>
      <c r="C47" s="3">
        <v>39178.9</v>
      </c>
      <c r="D47" s="3">
        <v>0</v>
      </c>
      <c r="E47" s="3">
        <f t="shared" si="0"/>
        <v>39178.9</v>
      </c>
    </row>
    <row r="48" spans="1:11" x14ac:dyDescent="0.25">
      <c r="A48" s="1" t="s">
        <v>45</v>
      </c>
      <c r="B48" t="s">
        <v>97</v>
      </c>
      <c r="C48" s="3">
        <v>27331.65</v>
      </c>
      <c r="D48" s="3">
        <v>0</v>
      </c>
      <c r="E48" s="3">
        <f t="shared" si="0"/>
        <v>27331.65</v>
      </c>
    </row>
    <row r="49" spans="1:11" x14ac:dyDescent="0.25">
      <c r="A49" s="1" t="s">
        <v>47</v>
      </c>
      <c r="B49" t="s">
        <v>97</v>
      </c>
      <c r="C49" s="3">
        <v>44747.65</v>
      </c>
      <c r="D49" s="3">
        <v>138.44999999999999</v>
      </c>
      <c r="E49" s="3">
        <f t="shared" si="0"/>
        <v>44609.200000000004</v>
      </c>
      <c r="G49" t="s">
        <v>130</v>
      </c>
      <c r="K49" t="s">
        <v>133</v>
      </c>
    </row>
    <row r="50" spans="1:11" x14ac:dyDescent="0.25">
      <c r="A50" s="1" t="s">
        <v>48</v>
      </c>
      <c r="B50" t="s">
        <v>97</v>
      </c>
      <c r="C50" s="3">
        <v>94322.71</v>
      </c>
      <c r="D50" s="3">
        <v>0</v>
      </c>
      <c r="E50" s="3">
        <f t="shared" si="0"/>
        <v>94322.71</v>
      </c>
    </row>
    <row r="51" spans="1:11" x14ac:dyDescent="0.25">
      <c r="A51" s="1" t="s">
        <v>46</v>
      </c>
      <c r="B51" t="s">
        <v>97</v>
      </c>
      <c r="C51" s="3">
        <v>282448.63</v>
      </c>
      <c r="D51" s="3">
        <v>47170</v>
      </c>
      <c r="E51" s="3">
        <f t="shared" si="0"/>
        <v>235278.63</v>
      </c>
      <c r="G51" t="s">
        <v>135</v>
      </c>
      <c r="H51" t="s">
        <v>136</v>
      </c>
      <c r="I51" t="s">
        <v>137</v>
      </c>
      <c r="J51" t="s">
        <v>139</v>
      </c>
      <c r="K51" t="s">
        <v>138</v>
      </c>
    </row>
    <row r="52" spans="1:11" x14ac:dyDescent="0.25">
      <c r="A52" s="1" t="s">
        <v>49</v>
      </c>
      <c r="B52" t="s">
        <v>97</v>
      </c>
      <c r="C52" s="3">
        <v>96417.32</v>
      </c>
      <c r="D52" s="3">
        <v>0</v>
      </c>
      <c r="E52" s="3">
        <f t="shared" si="0"/>
        <v>96417.32</v>
      </c>
    </row>
    <row r="53" spans="1:11" x14ac:dyDescent="0.25">
      <c r="A53" s="1" t="s">
        <v>52</v>
      </c>
      <c r="B53" t="s">
        <v>97</v>
      </c>
      <c r="C53" s="3">
        <v>643380.93999999994</v>
      </c>
      <c r="D53" s="3">
        <v>0</v>
      </c>
      <c r="E53" s="3">
        <v>657111.81000000006</v>
      </c>
      <c r="F53" t="s">
        <v>106</v>
      </c>
    </row>
    <row r="54" spans="1:11" x14ac:dyDescent="0.25">
      <c r="A54" s="1" t="s">
        <v>53</v>
      </c>
      <c r="B54" t="s">
        <v>97</v>
      </c>
      <c r="C54" s="3">
        <v>65389.64</v>
      </c>
      <c r="D54" s="3">
        <v>0</v>
      </c>
      <c r="E54" s="3">
        <f t="shared" si="0"/>
        <v>65389.64</v>
      </c>
    </row>
    <row r="55" spans="1:11" x14ac:dyDescent="0.25">
      <c r="A55" s="1" t="s">
        <v>51</v>
      </c>
      <c r="B55" t="s">
        <v>97</v>
      </c>
      <c r="C55" s="3">
        <v>33331.440000000002</v>
      </c>
      <c r="D55" s="3">
        <v>0</v>
      </c>
      <c r="E55" s="3">
        <f t="shared" si="0"/>
        <v>33331.440000000002</v>
      </c>
    </row>
    <row r="56" spans="1:11" x14ac:dyDescent="0.25">
      <c r="A56" s="1" t="s">
        <v>50</v>
      </c>
      <c r="B56" t="s">
        <v>97</v>
      </c>
      <c r="C56" s="3">
        <v>58613.25</v>
      </c>
      <c r="D56" s="3">
        <v>0</v>
      </c>
      <c r="E56" s="3">
        <f t="shared" si="0"/>
        <v>58613.25</v>
      </c>
    </row>
    <row r="57" spans="1:11" x14ac:dyDescent="0.25">
      <c r="A57" s="1" t="s">
        <v>54</v>
      </c>
      <c r="B57" t="s">
        <v>97</v>
      </c>
      <c r="C57" s="3">
        <v>245523.97</v>
      </c>
      <c r="D57" s="3">
        <v>230000</v>
      </c>
      <c r="E57" s="3">
        <v>15806.9</v>
      </c>
      <c r="F57" t="s">
        <v>110</v>
      </c>
      <c r="G57" t="s">
        <v>140</v>
      </c>
    </row>
    <row r="58" spans="1:11" x14ac:dyDescent="0.25">
      <c r="A58" s="1" t="s">
        <v>55</v>
      </c>
      <c r="B58" t="s">
        <v>97</v>
      </c>
      <c r="C58" s="3">
        <v>1251612.3999999999</v>
      </c>
      <c r="D58" s="3">
        <v>4149.1899999999996</v>
      </c>
      <c r="E58" s="3">
        <f t="shared" si="0"/>
        <v>1247463.21</v>
      </c>
      <c r="G58" t="s">
        <v>130</v>
      </c>
      <c r="K58" t="s">
        <v>141</v>
      </c>
    </row>
    <row r="59" spans="1:11" x14ac:dyDescent="0.25">
      <c r="A59" s="1" t="s">
        <v>56</v>
      </c>
      <c r="B59" t="s">
        <v>97</v>
      </c>
      <c r="C59" s="3">
        <v>56536.11</v>
      </c>
      <c r="D59" s="3">
        <v>35000</v>
      </c>
      <c r="E59" s="3">
        <f t="shared" si="0"/>
        <v>21536.11</v>
      </c>
      <c r="G59" t="s">
        <v>142</v>
      </c>
      <c r="K59" t="s">
        <v>143</v>
      </c>
    </row>
    <row r="60" spans="1:11" x14ac:dyDescent="0.25">
      <c r="A60" s="1" t="s">
        <v>59</v>
      </c>
      <c r="B60" t="s">
        <v>97</v>
      </c>
      <c r="C60" s="3">
        <v>55554.19</v>
      </c>
      <c r="D60" s="3">
        <v>0</v>
      </c>
      <c r="E60" s="3">
        <f t="shared" si="0"/>
        <v>55554.19</v>
      </c>
    </row>
    <row r="61" spans="1:11" x14ac:dyDescent="0.25">
      <c r="A61" s="1" t="s">
        <v>58</v>
      </c>
      <c r="B61" t="s">
        <v>97</v>
      </c>
      <c r="C61" s="3">
        <v>27256.48</v>
      </c>
      <c r="D61" s="3">
        <v>14</v>
      </c>
      <c r="E61" s="3">
        <f t="shared" si="0"/>
        <v>27242.48</v>
      </c>
      <c r="G61" t="s">
        <v>144</v>
      </c>
      <c r="K61" t="s">
        <v>145</v>
      </c>
    </row>
    <row r="62" spans="1:11" x14ac:dyDescent="0.25">
      <c r="A62" s="1" t="s">
        <v>60</v>
      </c>
      <c r="B62" t="s">
        <v>97</v>
      </c>
      <c r="C62" s="3">
        <v>67855.22</v>
      </c>
      <c r="D62" s="3">
        <v>0</v>
      </c>
      <c r="E62" s="3">
        <f t="shared" si="0"/>
        <v>67855.22</v>
      </c>
    </row>
    <row r="63" spans="1:11" x14ac:dyDescent="0.25">
      <c r="A63" s="1" t="s">
        <v>57</v>
      </c>
      <c r="B63" t="s">
        <v>97</v>
      </c>
      <c r="C63" s="3">
        <v>121311.51</v>
      </c>
      <c r="D63" s="3">
        <v>0</v>
      </c>
      <c r="E63" s="3">
        <f t="shared" si="0"/>
        <v>121311.51</v>
      </c>
    </row>
    <row r="64" spans="1:11" x14ac:dyDescent="0.25">
      <c r="A64" s="1" t="s">
        <v>61</v>
      </c>
      <c r="B64" t="s">
        <v>97</v>
      </c>
      <c r="C64" s="3">
        <v>198418.62</v>
      </c>
      <c r="D64" s="3">
        <v>0</v>
      </c>
      <c r="E64" s="3">
        <f t="shared" si="0"/>
        <v>198418.62</v>
      </c>
    </row>
    <row r="65" spans="1:11" x14ac:dyDescent="0.25">
      <c r="A65" s="1" t="s">
        <v>65</v>
      </c>
      <c r="B65" t="s">
        <v>97</v>
      </c>
      <c r="C65" s="3">
        <v>174437.03</v>
      </c>
      <c r="D65" s="3">
        <v>0</v>
      </c>
      <c r="E65" s="3">
        <f t="shared" si="0"/>
        <v>174437.03</v>
      </c>
    </row>
    <row r="66" spans="1:11" x14ac:dyDescent="0.25">
      <c r="A66" s="1" t="s">
        <v>62</v>
      </c>
      <c r="B66" t="s">
        <v>97</v>
      </c>
      <c r="C66" s="3">
        <v>83269</v>
      </c>
      <c r="D66" s="3">
        <v>0</v>
      </c>
      <c r="E66" s="3">
        <f t="shared" si="0"/>
        <v>83269</v>
      </c>
    </row>
    <row r="67" spans="1:11" x14ac:dyDescent="0.25">
      <c r="A67" s="1" t="s">
        <v>64</v>
      </c>
      <c r="B67" t="s">
        <v>97</v>
      </c>
      <c r="C67" s="3">
        <v>31890.9</v>
      </c>
      <c r="D67" s="3">
        <v>3625.95</v>
      </c>
      <c r="E67" s="3">
        <f t="shared" ref="E67:E100" si="1">C67-D67</f>
        <v>28264.95</v>
      </c>
      <c r="G67" t="s">
        <v>146</v>
      </c>
      <c r="H67" t="s">
        <v>147</v>
      </c>
      <c r="I67" t="s">
        <v>148</v>
      </c>
      <c r="K67" t="s">
        <v>149</v>
      </c>
    </row>
    <row r="68" spans="1:11" x14ac:dyDescent="0.25">
      <c r="A68" s="1" t="s">
        <v>63</v>
      </c>
      <c r="B68" t="s">
        <v>97</v>
      </c>
      <c r="C68" s="3">
        <v>75783.8</v>
      </c>
      <c r="D68" s="3">
        <v>0</v>
      </c>
      <c r="E68" s="3">
        <f t="shared" si="1"/>
        <v>75783.8</v>
      </c>
    </row>
    <row r="69" spans="1:11" x14ac:dyDescent="0.25">
      <c r="A69" s="1" t="s">
        <v>68</v>
      </c>
      <c r="B69" t="s">
        <v>97</v>
      </c>
      <c r="C69" s="3">
        <v>36314.97</v>
      </c>
      <c r="D69" s="3">
        <v>0</v>
      </c>
      <c r="E69" s="3">
        <v>37110.449999999997</v>
      </c>
      <c r="F69" t="s">
        <v>108</v>
      </c>
    </row>
    <row r="70" spans="1:11" x14ac:dyDescent="0.25">
      <c r="A70" s="1" t="s">
        <v>100</v>
      </c>
      <c r="B70" t="s">
        <v>97</v>
      </c>
      <c r="C70" s="3">
        <v>145858.78</v>
      </c>
      <c r="D70" s="3">
        <v>145858.78</v>
      </c>
      <c r="E70" s="3">
        <f t="shared" si="1"/>
        <v>0</v>
      </c>
      <c r="G70" t="s">
        <v>124</v>
      </c>
      <c r="H70" t="s">
        <v>118</v>
      </c>
      <c r="I70" t="s">
        <v>121</v>
      </c>
      <c r="J70" t="s">
        <v>123</v>
      </c>
    </row>
    <row r="71" spans="1:11" x14ac:dyDescent="0.25">
      <c r="A71" s="1" t="s">
        <v>66</v>
      </c>
      <c r="B71" t="s">
        <v>97</v>
      </c>
      <c r="C71" s="3">
        <v>178452.77</v>
      </c>
      <c r="D71" s="3">
        <v>0</v>
      </c>
      <c r="E71" s="3">
        <f t="shared" si="1"/>
        <v>178452.77</v>
      </c>
    </row>
    <row r="72" spans="1:11" x14ac:dyDescent="0.25">
      <c r="A72" s="1" t="s">
        <v>98</v>
      </c>
      <c r="B72" t="s">
        <v>97</v>
      </c>
      <c r="C72" s="3">
        <v>39689.86</v>
      </c>
      <c r="D72" s="3">
        <v>2610.7199999999998</v>
      </c>
      <c r="E72" s="3">
        <f t="shared" si="1"/>
        <v>37079.14</v>
      </c>
      <c r="G72" t="s">
        <v>150</v>
      </c>
    </row>
    <row r="73" spans="1:11" x14ac:dyDescent="0.25">
      <c r="A73" s="1" t="s">
        <v>67</v>
      </c>
      <c r="B73" t="s">
        <v>97</v>
      </c>
      <c r="C73" s="3">
        <v>24472.54</v>
      </c>
      <c r="D73" s="3">
        <v>0</v>
      </c>
      <c r="E73" s="3">
        <f t="shared" si="1"/>
        <v>24472.54</v>
      </c>
    </row>
    <row r="74" spans="1:11" x14ac:dyDescent="0.25">
      <c r="A74" s="1" t="s">
        <v>69</v>
      </c>
      <c r="B74" t="s">
        <v>97</v>
      </c>
      <c r="C74" s="3">
        <v>98147.78</v>
      </c>
      <c r="D74" s="3">
        <v>5030.3</v>
      </c>
      <c r="E74" s="3">
        <f t="shared" si="1"/>
        <v>93117.48</v>
      </c>
      <c r="G74" t="s">
        <v>134</v>
      </c>
    </row>
    <row r="75" spans="1:11" x14ac:dyDescent="0.25">
      <c r="A75" s="1" t="s">
        <v>72</v>
      </c>
      <c r="B75" t="s">
        <v>97</v>
      </c>
      <c r="C75" s="3">
        <v>28044.17</v>
      </c>
      <c r="D75" s="3">
        <v>846.38</v>
      </c>
      <c r="E75" s="3">
        <f t="shared" si="1"/>
        <v>27197.789999999997</v>
      </c>
      <c r="G75" t="s">
        <v>128</v>
      </c>
    </row>
    <row r="76" spans="1:11" x14ac:dyDescent="0.25">
      <c r="A76" s="1" t="s">
        <v>70</v>
      </c>
      <c r="B76" t="s">
        <v>97</v>
      </c>
      <c r="C76" s="3">
        <f>74949.87+12557.14</f>
        <v>87507.01</v>
      </c>
      <c r="D76" s="3">
        <v>0</v>
      </c>
      <c r="E76" s="3">
        <v>88026.9</v>
      </c>
      <c r="F76" t="s">
        <v>109</v>
      </c>
    </row>
    <row r="77" spans="1:11" x14ac:dyDescent="0.25">
      <c r="A77" s="1" t="s">
        <v>73</v>
      </c>
      <c r="B77" t="s">
        <v>97</v>
      </c>
      <c r="C77" s="3">
        <v>19622.28</v>
      </c>
      <c r="D77" s="3">
        <v>0</v>
      </c>
      <c r="E77" s="3">
        <f t="shared" si="1"/>
        <v>19622.28</v>
      </c>
    </row>
    <row r="78" spans="1:11" x14ac:dyDescent="0.25">
      <c r="A78" s="1" t="s">
        <v>71</v>
      </c>
      <c r="B78" t="s">
        <v>97</v>
      </c>
      <c r="C78" s="3">
        <v>3839503.4</v>
      </c>
      <c r="D78" s="3">
        <v>0</v>
      </c>
      <c r="E78" s="3">
        <v>3907431.98</v>
      </c>
      <c r="F78" t="s">
        <v>106</v>
      </c>
    </row>
    <row r="79" spans="1:11" x14ac:dyDescent="0.25">
      <c r="A79" s="1" t="s">
        <v>75</v>
      </c>
      <c r="B79" t="s">
        <v>97</v>
      </c>
      <c r="C79" s="3">
        <v>608398.6</v>
      </c>
      <c r="D79" s="3">
        <v>0</v>
      </c>
      <c r="E79" s="3">
        <f t="shared" si="1"/>
        <v>608398.6</v>
      </c>
    </row>
    <row r="80" spans="1:11" x14ac:dyDescent="0.25">
      <c r="A80" s="1" t="s">
        <v>74</v>
      </c>
      <c r="B80" t="s">
        <v>97</v>
      </c>
      <c r="C80" s="3">
        <v>79902.649999999994</v>
      </c>
      <c r="D80" s="3">
        <v>0</v>
      </c>
      <c r="E80" s="3">
        <f t="shared" si="1"/>
        <v>79902.649999999994</v>
      </c>
    </row>
    <row r="81" spans="1:8" x14ac:dyDescent="0.25">
      <c r="A81" s="1" t="s">
        <v>76</v>
      </c>
      <c r="B81" t="s">
        <v>97</v>
      </c>
      <c r="C81" s="3">
        <v>20129.41</v>
      </c>
      <c r="D81" s="3">
        <v>0</v>
      </c>
      <c r="E81" s="3">
        <f t="shared" si="1"/>
        <v>20129.41</v>
      </c>
    </row>
    <row r="82" spans="1:8" x14ac:dyDescent="0.25">
      <c r="A82" s="1" t="s">
        <v>80</v>
      </c>
      <c r="B82" t="s">
        <v>97</v>
      </c>
      <c r="C82" s="3">
        <v>37043.32</v>
      </c>
      <c r="D82" s="3">
        <v>0</v>
      </c>
      <c r="E82" s="3">
        <f t="shared" si="1"/>
        <v>37043.32</v>
      </c>
    </row>
    <row r="83" spans="1:8" x14ac:dyDescent="0.25">
      <c r="A83" s="1" t="s">
        <v>77</v>
      </c>
      <c r="B83" t="s">
        <v>97</v>
      </c>
      <c r="C83" s="3"/>
      <c r="D83" s="3">
        <v>0</v>
      </c>
      <c r="E83" s="3">
        <v>1786350.86</v>
      </c>
      <c r="F83" t="s">
        <v>111</v>
      </c>
    </row>
    <row r="84" spans="1:8" x14ac:dyDescent="0.25">
      <c r="A84" s="1" t="s">
        <v>79</v>
      </c>
      <c r="B84" t="s">
        <v>97</v>
      </c>
      <c r="C84" s="3">
        <v>48125.04</v>
      </c>
      <c r="D84" s="3">
        <v>3711.8</v>
      </c>
      <c r="E84" s="3">
        <v>4412</v>
      </c>
      <c r="F84" t="s">
        <v>112</v>
      </c>
      <c r="G84" t="s">
        <v>99</v>
      </c>
    </row>
    <row r="85" spans="1:8" x14ac:dyDescent="0.25">
      <c r="A85" s="1" t="s">
        <v>81</v>
      </c>
      <c r="B85" t="s">
        <v>97</v>
      </c>
      <c r="C85" s="3">
        <v>68955.83</v>
      </c>
      <c r="D85" s="3">
        <v>0</v>
      </c>
      <c r="E85" s="3">
        <f t="shared" si="1"/>
        <v>68955.83</v>
      </c>
      <c r="G85" s="5"/>
    </row>
    <row r="86" spans="1:8" x14ac:dyDescent="0.25">
      <c r="A86" s="1" t="s">
        <v>82</v>
      </c>
      <c r="B86" t="s">
        <v>97</v>
      </c>
      <c r="C86" s="3">
        <v>364665.8</v>
      </c>
      <c r="D86" s="3">
        <v>0</v>
      </c>
      <c r="E86" s="3">
        <f t="shared" si="1"/>
        <v>364665.8</v>
      </c>
    </row>
    <row r="87" spans="1:8" x14ac:dyDescent="0.25">
      <c r="A87" s="1" t="s">
        <v>78</v>
      </c>
      <c r="B87" t="s">
        <v>97</v>
      </c>
      <c r="C87" s="3">
        <v>70104.3</v>
      </c>
      <c r="D87" s="3">
        <v>0</v>
      </c>
      <c r="E87" s="3">
        <f t="shared" si="1"/>
        <v>70104.3</v>
      </c>
    </row>
    <row r="88" spans="1:8" x14ac:dyDescent="0.25">
      <c r="A88" s="1" t="s">
        <v>84</v>
      </c>
      <c r="B88" t="s">
        <v>97</v>
      </c>
      <c r="C88" s="3">
        <v>30034.98</v>
      </c>
      <c r="D88" s="3">
        <v>0</v>
      </c>
      <c r="E88" s="3">
        <f t="shared" si="1"/>
        <v>30034.98</v>
      </c>
    </row>
    <row r="89" spans="1:8" x14ac:dyDescent="0.25">
      <c r="A89" s="1" t="s">
        <v>85</v>
      </c>
      <c r="B89" t="s">
        <v>97</v>
      </c>
      <c r="C89" s="3">
        <v>77928</v>
      </c>
      <c r="D89" s="3">
        <v>0</v>
      </c>
      <c r="E89" s="3">
        <f t="shared" si="1"/>
        <v>77928</v>
      </c>
    </row>
    <row r="90" spans="1:8" x14ac:dyDescent="0.25">
      <c r="A90" s="1" t="s">
        <v>83</v>
      </c>
      <c r="B90" t="s">
        <v>97</v>
      </c>
      <c r="C90" s="3">
        <v>25675.69</v>
      </c>
      <c r="D90" s="3">
        <v>1147.6300000000001</v>
      </c>
      <c r="E90" s="3">
        <f t="shared" si="1"/>
        <v>24528.059999999998</v>
      </c>
      <c r="G90" t="s">
        <v>146</v>
      </c>
      <c r="H90" t="s">
        <v>151</v>
      </c>
    </row>
    <row r="91" spans="1:8" x14ac:dyDescent="0.25">
      <c r="A91" s="1" t="s">
        <v>86</v>
      </c>
      <c r="B91" t="s">
        <v>97</v>
      </c>
      <c r="C91" s="3">
        <v>168766.7</v>
      </c>
      <c r="D91" s="3">
        <v>0</v>
      </c>
      <c r="E91" s="3">
        <f t="shared" si="1"/>
        <v>168766.7</v>
      </c>
    </row>
    <row r="92" spans="1:8" x14ac:dyDescent="0.25">
      <c r="A92" s="1" t="s">
        <v>89</v>
      </c>
      <c r="B92" t="s">
        <v>97</v>
      </c>
      <c r="C92" s="3">
        <f>224142.88+1300</f>
        <v>225442.88</v>
      </c>
      <c r="D92" s="3">
        <v>0</v>
      </c>
      <c r="E92" s="3">
        <f t="shared" si="1"/>
        <v>225442.88</v>
      </c>
      <c r="F92" t="s">
        <v>113</v>
      </c>
    </row>
    <row r="93" spans="1:8" x14ac:dyDescent="0.25">
      <c r="A93" s="1" t="s">
        <v>87</v>
      </c>
      <c r="B93" t="s">
        <v>97</v>
      </c>
      <c r="C93" s="3">
        <v>93309.68</v>
      </c>
      <c r="D93" s="3">
        <v>0</v>
      </c>
      <c r="E93" s="3">
        <f t="shared" si="1"/>
        <v>93309.68</v>
      </c>
    </row>
    <row r="94" spans="1:8" x14ac:dyDescent="0.25">
      <c r="A94" s="1" t="s">
        <v>90</v>
      </c>
      <c r="B94" t="s">
        <v>97</v>
      </c>
      <c r="C94" s="3">
        <f>14788.72+26290.2</f>
        <v>41078.92</v>
      </c>
      <c r="D94" s="3">
        <v>5000</v>
      </c>
      <c r="E94" s="3">
        <f t="shared" si="1"/>
        <v>36078.92</v>
      </c>
      <c r="F94" t="s">
        <v>114</v>
      </c>
      <c r="G94" t="s">
        <v>129</v>
      </c>
    </row>
    <row r="95" spans="1:8" x14ac:dyDescent="0.25">
      <c r="A95" s="1" t="s">
        <v>88</v>
      </c>
      <c r="B95" t="s">
        <v>97</v>
      </c>
      <c r="C95" s="3">
        <v>268599.17</v>
      </c>
      <c r="D95" s="3">
        <v>4943.18</v>
      </c>
      <c r="E95" s="3">
        <f t="shared" si="1"/>
        <v>263655.99</v>
      </c>
      <c r="G95" t="s">
        <v>134</v>
      </c>
    </row>
    <row r="96" spans="1:8" x14ac:dyDescent="0.25">
      <c r="A96" s="1" t="s">
        <v>91</v>
      </c>
      <c r="B96" t="s">
        <v>97</v>
      </c>
      <c r="C96" s="3">
        <f>8379.88+393959.62</f>
        <v>402339.5</v>
      </c>
      <c r="D96" s="3">
        <v>0</v>
      </c>
      <c r="E96" s="3">
        <v>47775.5</v>
      </c>
      <c r="F96" t="s">
        <v>115</v>
      </c>
    </row>
    <row r="97" spans="1:11" x14ac:dyDescent="0.25">
      <c r="A97" s="1" t="s">
        <v>94</v>
      </c>
      <c r="B97" t="s">
        <v>97</v>
      </c>
      <c r="C97" s="3">
        <v>61850.37</v>
      </c>
      <c r="D97" s="3">
        <v>3267.78</v>
      </c>
      <c r="E97" s="3">
        <f t="shared" si="1"/>
        <v>58582.590000000004</v>
      </c>
      <c r="G97" t="s">
        <v>152</v>
      </c>
    </row>
    <row r="98" spans="1:11" x14ac:dyDescent="0.25">
      <c r="A98" s="1" t="s">
        <v>92</v>
      </c>
      <c r="B98" t="s">
        <v>97</v>
      </c>
      <c r="C98" s="3">
        <v>431943.74</v>
      </c>
      <c r="D98" s="3">
        <v>0</v>
      </c>
      <c r="E98" s="3">
        <f t="shared" si="1"/>
        <v>431943.74</v>
      </c>
    </row>
    <row r="99" spans="1:11" x14ac:dyDescent="0.25">
      <c r="A99" s="1" t="s">
        <v>93</v>
      </c>
      <c r="B99" t="s">
        <v>97</v>
      </c>
      <c r="C99" s="3">
        <v>39481.949999999997</v>
      </c>
      <c r="D99" s="3">
        <v>0</v>
      </c>
      <c r="E99" s="3">
        <f t="shared" si="1"/>
        <v>39481.949999999997</v>
      </c>
    </row>
    <row r="100" spans="1:11" x14ac:dyDescent="0.25">
      <c r="A100" s="1" t="s">
        <v>95</v>
      </c>
      <c r="B100" t="s">
        <v>97</v>
      </c>
      <c r="C100" s="3">
        <v>47304.959999999999</v>
      </c>
      <c r="D100" s="3">
        <v>3119.65</v>
      </c>
      <c r="E100" s="3">
        <f t="shared" si="1"/>
        <v>44185.31</v>
      </c>
      <c r="G100" t="s">
        <v>153</v>
      </c>
      <c r="H100" t="s">
        <v>154</v>
      </c>
      <c r="I100" t="s">
        <v>148</v>
      </c>
      <c r="J100" t="s">
        <v>155</v>
      </c>
      <c r="K100" t="s">
        <v>156</v>
      </c>
    </row>
    <row r="102" spans="1:11" x14ac:dyDescent="0.25">
      <c r="C102" s="5">
        <f>SUM(C2:C100)</f>
        <v>15893541.449999999</v>
      </c>
    </row>
  </sheetData>
  <sortState xmlns:xlrd2="http://schemas.microsoft.com/office/spreadsheetml/2017/richdata2" ref="A2:B100">
    <sortCondition ref="A2:A1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5559-F97A-4A7F-9F86-51DB766C7320}">
  <dimension ref="A1:K101"/>
  <sheetViews>
    <sheetView tabSelected="1" topLeftCell="A88" workbookViewId="0">
      <selection activeCell="D102" sqref="D102"/>
    </sheetView>
  </sheetViews>
  <sheetFormatPr defaultColWidth="11" defaultRowHeight="15.75" x14ac:dyDescent="0.25"/>
  <cols>
    <col min="1" max="1" width="38.125" bestFit="1" customWidth="1"/>
    <col min="3" max="3" width="14.75" style="6" bestFit="1" customWidth="1"/>
    <col min="4" max="4" width="16.125" style="6" bestFit="1" customWidth="1"/>
    <col min="5" max="5" width="15" style="6" customWidth="1"/>
    <col min="6" max="6" width="21.625" style="6" customWidth="1"/>
    <col min="7" max="7" width="17.875" style="6" bestFit="1" customWidth="1"/>
    <col min="8" max="9" width="13.875" style="6" customWidth="1"/>
    <col min="10" max="10" width="14.375" style="6" customWidth="1"/>
    <col min="11" max="11" width="11" style="6"/>
  </cols>
  <sheetData>
    <row r="1" spans="1:11" x14ac:dyDescent="0.25">
      <c r="A1" s="2" t="s">
        <v>96</v>
      </c>
      <c r="C1" t="s">
        <v>102</v>
      </c>
      <c r="D1" t="s">
        <v>103</v>
      </c>
      <c r="E1" t="s">
        <v>104</v>
      </c>
      <c r="F1" t="s">
        <v>157</v>
      </c>
      <c r="G1" t="s">
        <v>116</v>
      </c>
      <c r="H1" t="s">
        <v>117</v>
      </c>
      <c r="I1" t="s">
        <v>119</v>
      </c>
      <c r="J1" t="s">
        <v>120</v>
      </c>
      <c r="K1" t="s">
        <v>132</v>
      </c>
    </row>
    <row r="2" spans="1:11" x14ac:dyDescent="0.25">
      <c r="A2" s="1" t="s">
        <v>0</v>
      </c>
      <c r="B2" t="s">
        <v>97</v>
      </c>
      <c r="C2" s="8">
        <f>43037.37+49287.17</f>
        <v>92324.540000000008</v>
      </c>
      <c r="D2" s="8">
        <v>30000</v>
      </c>
      <c r="E2" s="8">
        <f>C2-D2</f>
        <v>62324.540000000008</v>
      </c>
      <c r="F2"/>
      <c r="G2" t="s">
        <v>159</v>
      </c>
      <c r="H2"/>
      <c r="I2"/>
      <c r="J2"/>
      <c r="K2" t="s">
        <v>158</v>
      </c>
    </row>
    <row r="3" spans="1:11" x14ac:dyDescent="0.25">
      <c r="A3" s="1" t="s">
        <v>1</v>
      </c>
      <c r="B3" t="s">
        <v>97</v>
      </c>
      <c r="C3" s="8">
        <f>18796.83+21436.09</f>
        <v>40232.92</v>
      </c>
      <c r="D3" s="8">
        <v>18796.830000000002</v>
      </c>
      <c r="E3" s="8">
        <f t="shared" ref="E3:E66" si="0">C3-D3</f>
        <v>21436.089999999997</v>
      </c>
      <c r="F3"/>
      <c r="G3" t="s">
        <v>159</v>
      </c>
      <c r="H3"/>
      <c r="I3"/>
      <c r="J3"/>
      <c r="K3" t="s">
        <v>160</v>
      </c>
    </row>
    <row r="4" spans="1:11" x14ac:dyDescent="0.25">
      <c r="A4" s="1" t="s">
        <v>4</v>
      </c>
      <c r="B4" t="s">
        <v>97</v>
      </c>
      <c r="C4" s="8">
        <f>75046.99+ 85584.37+ 923.7</f>
        <v>161555.06</v>
      </c>
      <c r="D4" s="8">
        <v>36076.339999999997</v>
      </c>
      <c r="E4" s="8">
        <f t="shared" si="0"/>
        <v>125478.72</v>
      </c>
      <c r="F4" t="s">
        <v>161</v>
      </c>
      <c r="G4" t="s">
        <v>163</v>
      </c>
      <c r="H4" t="s">
        <v>164</v>
      </c>
      <c r="I4"/>
      <c r="J4"/>
      <c r="K4" t="s">
        <v>162</v>
      </c>
    </row>
    <row r="5" spans="1:11" x14ac:dyDescent="0.25">
      <c r="A5" s="1" t="s">
        <v>3</v>
      </c>
      <c r="B5" t="s">
        <v>97</v>
      </c>
      <c r="C5" s="8">
        <f>89538.45+106153.16</f>
        <v>195691.61</v>
      </c>
      <c r="D5" s="8">
        <v>0</v>
      </c>
      <c r="E5" s="8">
        <f>C5-D5</f>
        <v>195691.61</v>
      </c>
      <c r="F5"/>
      <c r="G5"/>
      <c r="H5"/>
      <c r="I5"/>
      <c r="J5"/>
      <c r="K5"/>
    </row>
    <row r="6" spans="1:11" x14ac:dyDescent="0.25">
      <c r="A6" s="1" t="s">
        <v>2</v>
      </c>
      <c r="B6" t="s">
        <v>97</v>
      </c>
      <c r="C6" s="8">
        <f>24814.45+29797.42</f>
        <v>54611.869999999995</v>
      </c>
      <c r="D6" s="8">
        <v>0</v>
      </c>
      <c r="E6" s="8">
        <f t="shared" si="0"/>
        <v>54611.869999999995</v>
      </c>
      <c r="F6" t="s">
        <v>165</v>
      </c>
      <c r="G6"/>
      <c r="H6"/>
      <c r="I6"/>
      <c r="J6"/>
      <c r="K6"/>
    </row>
    <row r="7" spans="1:11" x14ac:dyDescent="0.25">
      <c r="A7" s="1" t="s">
        <v>5</v>
      </c>
      <c r="B7" t="s">
        <v>97</v>
      </c>
      <c r="C7" s="8">
        <f>105545.33+128372.46</f>
        <v>233917.79</v>
      </c>
      <c r="D7" s="8">
        <v>0</v>
      </c>
      <c r="E7" s="8">
        <f t="shared" si="0"/>
        <v>233917.79</v>
      </c>
      <c r="F7" t="s">
        <v>165</v>
      </c>
      <c r="G7"/>
      <c r="H7"/>
      <c r="I7"/>
      <c r="J7"/>
      <c r="K7"/>
    </row>
    <row r="8" spans="1:11" x14ac:dyDescent="0.25">
      <c r="A8" s="1" t="s">
        <v>6</v>
      </c>
      <c r="B8" t="s">
        <v>97</v>
      </c>
      <c r="C8" s="8">
        <f>562588.09+698879.64</f>
        <v>1261467.73</v>
      </c>
      <c r="D8" s="8">
        <v>185041.32</v>
      </c>
      <c r="E8" s="8">
        <f t="shared" si="0"/>
        <v>1076426.4099999999</v>
      </c>
      <c r="F8"/>
      <c r="G8" t="s">
        <v>166</v>
      </c>
      <c r="H8" t="s">
        <v>167</v>
      </c>
      <c r="I8"/>
      <c r="J8"/>
      <c r="K8" t="s">
        <v>168</v>
      </c>
    </row>
    <row r="9" spans="1:11" x14ac:dyDescent="0.25">
      <c r="A9" s="1" t="s">
        <v>7</v>
      </c>
      <c r="B9" t="s">
        <v>97</v>
      </c>
      <c r="C9" s="8">
        <f>138515.93+157965</f>
        <v>296480.93</v>
      </c>
      <c r="D9" s="8">
        <v>128604</v>
      </c>
      <c r="E9" s="8">
        <f t="shared" si="0"/>
        <v>167876.93</v>
      </c>
      <c r="F9"/>
      <c r="G9" t="s">
        <v>169</v>
      </c>
      <c r="H9" t="s">
        <v>170</v>
      </c>
      <c r="I9"/>
      <c r="J9"/>
      <c r="K9" t="s">
        <v>171</v>
      </c>
    </row>
    <row r="10" spans="1:11" x14ac:dyDescent="0.25">
      <c r="A10" s="1" t="s">
        <v>8</v>
      </c>
      <c r="B10" t="s">
        <v>97</v>
      </c>
      <c r="C10" s="8">
        <f>125590.01+140380.52</f>
        <v>265970.52999999997</v>
      </c>
      <c r="D10" s="8">
        <v>0</v>
      </c>
      <c r="E10" s="8">
        <f t="shared" si="0"/>
        <v>265970.52999999997</v>
      </c>
      <c r="F10" t="s">
        <v>172</v>
      </c>
      <c r="G10"/>
      <c r="H10"/>
      <c r="I10"/>
      <c r="J10"/>
      <c r="K10"/>
    </row>
    <row r="11" spans="1:11" x14ac:dyDescent="0.25">
      <c r="A11" s="1" t="s">
        <v>9</v>
      </c>
      <c r="B11" t="s">
        <v>97</v>
      </c>
      <c r="C11" s="8">
        <f>63458.16+72368.33+3090.73</f>
        <v>138917.22</v>
      </c>
      <c r="D11" s="8">
        <v>1802.42</v>
      </c>
      <c r="E11" s="8">
        <f t="shared" si="0"/>
        <v>137114.79999999999</v>
      </c>
      <c r="F11" t="s">
        <v>173</v>
      </c>
      <c r="G11" t="s">
        <v>174</v>
      </c>
      <c r="H11" t="s">
        <v>176</v>
      </c>
      <c r="I11"/>
      <c r="J11"/>
      <c r="K11" t="s">
        <v>175</v>
      </c>
    </row>
    <row r="12" spans="1:11" x14ac:dyDescent="0.25">
      <c r="A12" s="1" t="s">
        <v>10</v>
      </c>
      <c r="B12" t="s">
        <v>97</v>
      </c>
      <c r="C12" s="8">
        <f>55036.26+64225.71</f>
        <v>119261.97</v>
      </c>
      <c r="D12" s="8">
        <v>0</v>
      </c>
      <c r="E12" s="8">
        <f t="shared" si="0"/>
        <v>119261.97</v>
      </c>
      <c r="F12"/>
      <c r="G12"/>
      <c r="H12"/>
      <c r="I12"/>
      <c r="J12"/>
      <c r="K12"/>
    </row>
    <row r="13" spans="1:11" x14ac:dyDescent="0.25">
      <c r="A13" s="1" t="s">
        <v>12</v>
      </c>
      <c r="B13" t="s">
        <v>97</v>
      </c>
      <c r="C13" s="8">
        <f>45573.1+51972.03+1245.73</f>
        <v>98790.86</v>
      </c>
      <c r="D13" s="8">
        <v>0</v>
      </c>
      <c r="E13" s="8">
        <f t="shared" si="0"/>
        <v>98790.86</v>
      </c>
      <c r="F13"/>
      <c r="G13"/>
      <c r="H13"/>
      <c r="I13"/>
      <c r="J13"/>
      <c r="K13"/>
    </row>
    <row r="14" spans="1:11" x14ac:dyDescent="0.25">
      <c r="A14" s="1" t="s">
        <v>11</v>
      </c>
      <c r="B14" t="s">
        <v>97</v>
      </c>
      <c r="C14" s="8">
        <f>35521.91+36270.33+2506.68</f>
        <v>74298.92</v>
      </c>
      <c r="D14" s="8">
        <v>18820.37</v>
      </c>
      <c r="E14" s="8">
        <f t="shared" si="0"/>
        <v>55478.55</v>
      </c>
      <c r="F14" t="s">
        <v>177</v>
      </c>
      <c r="G14" t="s">
        <v>178</v>
      </c>
      <c r="H14"/>
      <c r="I14"/>
      <c r="J14"/>
      <c r="K14" t="s">
        <v>179</v>
      </c>
    </row>
    <row r="15" spans="1:11" x14ac:dyDescent="0.25">
      <c r="A15" s="1" t="s">
        <v>14</v>
      </c>
      <c r="B15" t="s">
        <v>97</v>
      </c>
      <c r="C15" s="8">
        <f>101698.42+116498.94</f>
        <v>218197.36</v>
      </c>
      <c r="D15" s="8">
        <v>0</v>
      </c>
      <c r="E15" s="8">
        <f t="shared" si="0"/>
        <v>218197.36</v>
      </c>
      <c r="F15"/>
      <c r="G15"/>
      <c r="H15"/>
      <c r="I15"/>
      <c r="J15"/>
      <c r="K15"/>
    </row>
    <row r="16" spans="1:11" x14ac:dyDescent="0.25">
      <c r="A16" s="1" t="s">
        <v>101</v>
      </c>
      <c r="B16" t="s">
        <v>97</v>
      </c>
      <c r="C16" s="8">
        <f>137578.78+64431.31</f>
        <v>202010.09</v>
      </c>
      <c r="D16" s="8">
        <v>17483.11</v>
      </c>
      <c r="E16" s="8">
        <f t="shared" si="0"/>
        <v>184526.97999999998</v>
      </c>
      <c r="F16"/>
      <c r="G16" t="s">
        <v>124</v>
      </c>
      <c r="H16" t="s">
        <v>118</v>
      </c>
      <c r="I16" t="s">
        <v>180</v>
      </c>
      <c r="J16" t="s">
        <v>181</v>
      </c>
      <c r="K16"/>
    </row>
    <row r="17" spans="1:11" x14ac:dyDescent="0.25">
      <c r="A17" s="1" t="s">
        <v>13</v>
      </c>
      <c r="B17" t="s">
        <v>97</v>
      </c>
      <c r="C17" s="8">
        <f>55091.66+67796.51</f>
        <v>122888.17</v>
      </c>
      <c r="D17" s="8">
        <v>2077.88</v>
      </c>
      <c r="E17" s="8">
        <f t="shared" si="0"/>
        <v>120810.29</v>
      </c>
      <c r="F17"/>
      <c r="G17" t="s">
        <v>125</v>
      </c>
      <c r="H17"/>
      <c r="I17"/>
      <c r="J17"/>
      <c r="K17"/>
    </row>
    <row r="18" spans="1:11" s="10" customFormat="1" x14ac:dyDescent="0.25">
      <c r="A18" s="9" t="s">
        <v>15</v>
      </c>
      <c r="B18" s="10" t="s">
        <v>97</v>
      </c>
      <c r="C18" s="8">
        <f>250136.06+313115.26</f>
        <v>563251.32000000007</v>
      </c>
      <c r="D18" s="8">
        <v>43201.59</v>
      </c>
      <c r="E18" s="8">
        <f t="shared" si="0"/>
        <v>520049.7300000001</v>
      </c>
      <c r="G18" s="10" t="s">
        <v>126</v>
      </c>
    </row>
    <row r="19" spans="1:11" s="10" customFormat="1" x14ac:dyDescent="0.25">
      <c r="A19" s="9" t="s">
        <v>16</v>
      </c>
      <c r="B19" s="10" t="s">
        <v>97</v>
      </c>
      <c r="C19" s="8">
        <f>40032.27+45653.19</f>
        <v>85685.459999999992</v>
      </c>
      <c r="D19" s="8">
        <v>0</v>
      </c>
      <c r="E19" s="8">
        <f t="shared" si="0"/>
        <v>85685.459999999992</v>
      </c>
    </row>
    <row r="20" spans="1:11" s="10" customFormat="1" x14ac:dyDescent="0.25">
      <c r="A20" s="9" t="s">
        <v>17</v>
      </c>
      <c r="B20" s="10" t="s">
        <v>97</v>
      </c>
      <c r="C20" s="8">
        <f>41875.15+46668.39+2593.55</f>
        <v>91137.090000000011</v>
      </c>
      <c r="D20" s="8">
        <v>0</v>
      </c>
      <c r="E20" s="8">
        <f t="shared" si="0"/>
        <v>91137.090000000011</v>
      </c>
      <c r="F20" s="10" t="s">
        <v>184</v>
      </c>
    </row>
    <row r="21" spans="1:11" s="10" customFormat="1" x14ac:dyDescent="0.25">
      <c r="A21" s="9" t="s">
        <v>18</v>
      </c>
      <c r="B21" s="10" t="s">
        <v>97</v>
      </c>
      <c r="C21" s="8">
        <f>10865.75+51270.43+58469.33</f>
        <v>120605.51000000001</v>
      </c>
      <c r="D21" s="8">
        <v>0</v>
      </c>
      <c r="E21" s="8">
        <f t="shared" si="0"/>
        <v>120605.51000000001</v>
      </c>
    </row>
    <row r="22" spans="1:11" s="10" customFormat="1" x14ac:dyDescent="0.25">
      <c r="A22" s="9" t="s">
        <v>20</v>
      </c>
      <c r="B22" s="10" t="s">
        <v>97</v>
      </c>
      <c r="C22" s="8">
        <f>46697.75+58191.62</f>
        <v>104889.37</v>
      </c>
      <c r="D22" s="8">
        <v>616.96</v>
      </c>
      <c r="E22" s="8">
        <f t="shared" si="0"/>
        <v>104272.40999999999</v>
      </c>
      <c r="G22" s="10" t="s">
        <v>127</v>
      </c>
      <c r="H22" s="10" t="s">
        <v>127</v>
      </c>
    </row>
    <row r="23" spans="1:11" s="10" customFormat="1" x14ac:dyDescent="0.25">
      <c r="A23" s="9" t="s">
        <v>21</v>
      </c>
      <c r="B23" s="10" t="s">
        <v>97</v>
      </c>
      <c r="C23" s="8">
        <f>76989.26+89623.61</f>
        <v>166612.87</v>
      </c>
      <c r="D23" s="8">
        <v>0</v>
      </c>
      <c r="E23" s="8">
        <f t="shared" si="0"/>
        <v>166612.87</v>
      </c>
    </row>
    <row r="24" spans="1:11" s="10" customFormat="1" x14ac:dyDescent="0.25">
      <c r="A24" s="9" t="s">
        <v>19</v>
      </c>
      <c r="B24" s="10" t="s">
        <v>97</v>
      </c>
      <c r="C24" s="8">
        <f>245513.19+279985.79+13561.43</f>
        <v>539060.41</v>
      </c>
      <c r="D24" s="8">
        <v>0</v>
      </c>
      <c r="E24" s="8">
        <f t="shared" si="0"/>
        <v>539060.41</v>
      </c>
    </row>
    <row r="25" spans="1:11" s="10" customFormat="1" x14ac:dyDescent="0.25">
      <c r="A25" s="9" t="s">
        <v>22</v>
      </c>
      <c r="B25" s="10" t="s">
        <v>97</v>
      </c>
      <c r="C25" s="8">
        <f>56348.99+64514.48</f>
        <v>120863.47</v>
      </c>
      <c r="D25" s="8">
        <v>56348.99</v>
      </c>
      <c r="E25" s="8">
        <f t="shared" si="0"/>
        <v>64514.48</v>
      </c>
      <c r="F25" s="10" t="s">
        <v>185</v>
      </c>
      <c r="G25" s="10" t="s">
        <v>186</v>
      </c>
      <c r="H25" s="10" t="s">
        <v>187</v>
      </c>
    </row>
    <row r="26" spans="1:11" s="10" customFormat="1" x14ac:dyDescent="0.25">
      <c r="A26" s="9" t="s">
        <v>23</v>
      </c>
      <c r="B26" s="10" t="s">
        <v>97</v>
      </c>
      <c r="C26" s="8">
        <f>248707.15+273685.73</f>
        <v>522392.88</v>
      </c>
      <c r="D26" s="8">
        <v>0</v>
      </c>
      <c r="E26" s="8">
        <f t="shared" si="0"/>
        <v>522392.88</v>
      </c>
      <c r="F26" s="10" t="s">
        <v>188</v>
      </c>
    </row>
    <row r="27" spans="1:11" s="10" customFormat="1" x14ac:dyDescent="0.25">
      <c r="A27" s="9" t="s">
        <v>25</v>
      </c>
      <c r="B27" s="10" t="s">
        <v>99</v>
      </c>
      <c r="C27" s="8"/>
      <c r="D27" s="8"/>
      <c r="E27" s="11"/>
    </row>
    <row r="28" spans="1:11" s="10" customFormat="1" x14ac:dyDescent="0.25">
      <c r="A28" s="9" t="s">
        <v>26</v>
      </c>
      <c r="B28" s="10" t="s">
        <v>97</v>
      </c>
      <c r="C28" s="8">
        <f>42530.85+48594.21</f>
        <v>91125.06</v>
      </c>
      <c r="D28" s="8">
        <v>0</v>
      </c>
      <c r="E28" s="8">
        <f t="shared" si="0"/>
        <v>91125.06</v>
      </c>
      <c r="K28" s="10" t="s">
        <v>133</v>
      </c>
    </row>
    <row r="29" spans="1:11" s="10" customFormat="1" x14ac:dyDescent="0.25">
      <c r="A29" s="9" t="s">
        <v>24</v>
      </c>
      <c r="B29" s="10" t="s">
        <v>97</v>
      </c>
      <c r="C29" s="8">
        <f>61687.47+74585.29</f>
        <v>136272.76</v>
      </c>
      <c r="D29" s="8">
        <v>0</v>
      </c>
      <c r="E29" s="8">
        <f t="shared" si="0"/>
        <v>136272.76</v>
      </c>
      <c r="F29" s="10" t="s">
        <v>190</v>
      </c>
      <c r="K29" s="10" t="s">
        <v>189</v>
      </c>
    </row>
    <row r="30" spans="1:11" s="10" customFormat="1" x14ac:dyDescent="0.25">
      <c r="A30" s="9" t="s">
        <v>27</v>
      </c>
      <c r="B30" s="10" t="s">
        <v>97</v>
      </c>
      <c r="C30" s="8">
        <f>263921.6+300978.89</f>
        <v>564900.49</v>
      </c>
      <c r="D30" s="8">
        <v>0</v>
      </c>
      <c r="E30" s="8">
        <f t="shared" si="0"/>
        <v>564900.49</v>
      </c>
      <c r="F30" s="10" t="s">
        <v>191</v>
      </c>
    </row>
    <row r="31" spans="1:11" s="10" customFormat="1" x14ac:dyDescent="0.25">
      <c r="A31" s="9" t="s">
        <v>28</v>
      </c>
      <c r="B31" s="10" t="s">
        <v>97</v>
      </c>
      <c r="C31" s="8">
        <f>55434.85+63682.99+2156.81</f>
        <v>121274.65</v>
      </c>
      <c r="D31" s="8">
        <v>115439.42</v>
      </c>
      <c r="E31" s="8">
        <f t="shared" si="0"/>
        <v>5835.2299999999959</v>
      </c>
      <c r="G31" s="10" t="s">
        <v>193</v>
      </c>
      <c r="K31" s="10" t="s">
        <v>192</v>
      </c>
    </row>
    <row r="32" spans="1:11" s="10" customFormat="1" x14ac:dyDescent="0.25">
      <c r="A32" s="9" t="s">
        <v>29</v>
      </c>
      <c r="B32" s="10" t="s">
        <v>97</v>
      </c>
      <c r="C32" s="8">
        <f>462108.2+526879.84</f>
        <v>988988.04</v>
      </c>
      <c r="D32" s="8">
        <v>37174.15</v>
      </c>
      <c r="E32" s="8">
        <f t="shared" si="0"/>
        <v>951813.89</v>
      </c>
      <c r="F32" s="10" t="s">
        <v>194</v>
      </c>
      <c r="G32" s="10" t="s">
        <v>195</v>
      </c>
    </row>
    <row r="33" spans="1:11" s="10" customFormat="1" x14ac:dyDescent="0.25">
      <c r="A33" s="9" t="s">
        <v>31</v>
      </c>
      <c r="B33" s="10" t="s">
        <v>97</v>
      </c>
      <c r="C33" s="8">
        <f>29220.81+33655.42</f>
        <v>62876.229999999996</v>
      </c>
      <c r="D33" s="8">
        <v>15000</v>
      </c>
      <c r="E33" s="8">
        <f t="shared" si="0"/>
        <v>47876.229999999996</v>
      </c>
      <c r="G33" s="10" t="s">
        <v>196</v>
      </c>
      <c r="K33" s="10" t="s">
        <v>197</v>
      </c>
    </row>
    <row r="34" spans="1:11" s="10" customFormat="1" x14ac:dyDescent="0.25">
      <c r="A34" s="9" t="s">
        <v>30</v>
      </c>
      <c r="B34" s="10" t="s">
        <v>97</v>
      </c>
      <c r="C34" s="8">
        <f>88950.37+93339.1+438.03</f>
        <v>182727.5</v>
      </c>
      <c r="D34" s="8">
        <v>0</v>
      </c>
      <c r="E34" s="8">
        <f t="shared" si="0"/>
        <v>182727.5</v>
      </c>
    </row>
    <row r="35" spans="1:11" s="10" customFormat="1" x14ac:dyDescent="0.25">
      <c r="A35" s="9" t="s">
        <v>35</v>
      </c>
      <c r="B35" s="10" t="s">
        <v>97</v>
      </c>
      <c r="C35" s="8">
        <f>55300.63+67209.62</f>
        <v>122510.25</v>
      </c>
      <c r="D35" s="8">
        <v>2517</v>
      </c>
      <c r="E35" s="8">
        <f t="shared" si="0"/>
        <v>119993.25</v>
      </c>
      <c r="G35" s="10" t="s">
        <v>198</v>
      </c>
      <c r="K35" s="10" t="s">
        <v>199</v>
      </c>
    </row>
    <row r="36" spans="1:11" s="10" customFormat="1" x14ac:dyDescent="0.25">
      <c r="A36" s="9" t="s">
        <v>32</v>
      </c>
      <c r="B36" s="10" t="s">
        <v>97</v>
      </c>
      <c r="C36" s="8">
        <f>5637.27+1197.83+22699.2+5933.63+40820.75</f>
        <v>76288.679999999993</v>
      </c>
      <c r="D36" s="8">
        <v>0</v>
      </c>
      <c r="E36" s="8">
        <f t="shared" si="0"/>
        <v>76288.679999999993</v>
      </c>
    </row>
    <row r="37" spans="1:11" s="10" customFormat="1" x14ac:dyDescent="0.25">
      <c r="A37" s="9" t="s">
        <v>34</v>
      </c>
      <c r="B37" s="10" t="s">
        <v>97</v>
      </c>
      <c r="C37" s="8">
        <f>34469.83+39309.74</f>
        <v>73779.570000000007</v>
      </c>
      <c r="D37" s="8">
        <v>0</v>
      </c>
      <c r="E37" s="8">
        <f t="shared" si="0"/>
        <v>73779.570000000007</v>
      </c>
    </row>
    <row r="38" spans="1:11" s="10" customFormat="1" x14ac:dyDescent="0.25">
      <c r="A38" s="9" t="s">
        <v>33</v>
      </c>
      <c r="B38" s="10" t="s">
        <v>97</v>
      </c>
      <c r="C38" s="8">
        <f>60231.82+68720.28</f>
        <v>128952.1</v>
      </c>
      <c r="D38" s="8">
        <v>55000</v>
      </c>
      <c r="E38" s="8">
        <f t="shared" si="0"/>
        <v>73952.100000000006</v>
      </c>
      <c r="K38" s="10" t="s">
        <v>200</v>
      </c>
    </row>
    <row r="39" spans="1:11" s="10" customFormat="1" x14ac:dyDescent="0.25">
      <c r="A39" s="9" t="s">
        <v>36</v>
      </c>
      <c r="B39" s="10" t="s">
        <v>97</v>
      </c>
      <c r="C39" s="8">
        <f>54556.31+62419.97</f>
        <v>116976.28</v>
      </c>
      <c r="D39" s="8">
        <v>41.78</v>
      </c>
      <c r="E39" s="8">
        <f t="shared" si="0"/>
        <v>116934.5</v>
      </c>
      <c r="G39" s="10" t="s">
        <v>201</v>
      </c>
    </row>
    <row r="40" spans="1:11" s="10" customFormat="1" x14ac:dyDescent="0.25">
      <c r="A40" s="9" t="s">
        <v>41</v>
      </c>
      <c r="B40" s="10" t="s">
        <v>97</v>
      </c>
      <c r="C40" s="8">
        <f>38856.09+44311.93</f>
        <v>83168.01999999999</v>
      </c>
      <c r="D40" s="8">
        <v>0</v>
      </c>
      <c r="E40" s="8">
        <f t="shared" si="0"/>
        <v>83168.01999999999</v>
      </c>
    </row>
    <row r="41" spans="1:11" s="10" customFormat="1" x14ac:dyDescent="0.25">
      <c r="A41" s="9" t="s">
        <v>37</v>
      </c>
      <c r="B41" s="10" t="s">
        <v>97</v>
      </c>
      <c r="C41" s="8">
        <f>58942.37+67218.48</f>
        <v>126160.85</v>
      </c>
      <c r="D41" s="8">
        <v>0</v>
      </c>
      <c r="E41" s="8">
        <f t="shared" si="0"/>
        <v>126160.85</v>
      </c>
    </row>
    <row r="42" spans="1:11" s="10" customFormat="1" x14ac:dyDescent="0.25">
      <c r="A42" s="9" t="s">
        <v>40</v>
      </c>
      <c r="B42" s="10" t="s">
        <v>97</v>
      </c>
      <c r="C42" s="8">
        <f>31998.82+39397.09</f>
        <v>71395.91</v>
      </c>
      <c r="D42" s="8">
        <v>0</v>
      </c>
      <c r="E42" s="8">
        <f t="shared" si="0"/>
        <v>71395.91</v>
      </c>
    </row>
    <row r="43" spans="1:11" s="10" customFormat="1" x14ac:dyDescent="0.25">
      <c r="A43" s="9" t="s">
        <v>39</v>
      </c>
      <c r="B43" s="10" t="s">
        <v>97</v>
      </c>
      <c r="C43" s="8">
        <f>75597.29+86211.93</f>
        <v>161809.21999999997</v>
      </c>
      <c r="D43" s="8">
        <v>0</v>
      </c>
      <c r="E43" s="8">
        <f t="shared" si="0"/>
        <v>161809.21999999997</v>
      </c>
    </row>
    <row r="44" spans="1:11" s="10" customFormat="1" x14ac:dyDescent="0.25">
      <c r="A44" s="9" t="s">
        <v>38</v>
      </c>
      <c r="B44" s="10" t="s">
        <v>97</v>
      </c>
      <c r="C44" s="8">
        <f>103967.16+121526.36</f>
        <v>225493.52000000002</v>
      </c>
      <c r="D44" s="8">
        <v>10000</v>
      </c>
      <c r="E44" s="8">
        <f t="shared" si="0"/>
        <v>215493.52000000002</v>
      </c>
      <c r="G44" s="10" t="s">
        <v>174</v>
      </c>
    </row>
    <row r="45" spans="1:11" s="10" customFormat="1" x14ac:dyDescent="0.25">
      <c r="A45" s="9" t="s">
        <v>42</v>
      </c>
      <c r="B45" s="10" t="s">
        <v>97</v>
      </c>
      <c r="C45" s="8">
        <f>59041.52+85442.87</f>
        <v>144484.38999999998</v>
      </c>
      <c r="D45" s="8">
        <v>4518.3500000000004</v>
      </c>
      <c r="E45" s="8">
        <f>C45-D45</f>
        <v>139966.03999999998</v>
      </c>
      <c r="F45" s="10" t="s">
        <v>202</v>
      </c>
      <c r="G45" s="10" t="s">
        <v>203</v>
      </c>
    </row>
    <row r="46" spans="1:11" s="10" customFormat="1" x14ac:dyDescent="0.25">
      <c r="A46" s="9" t="s">
        <v>43</v>
      </c>
      <c r="B46" s="10" t="s">
        <v>97</v>
      </c>
      <c r="C46" s="8">
        <f>28853.43+32904.77+1625.42</f>
        <v>63383.619999999995</v>
      </c>
      <c r="D46" s="8">
        <v>0</v>
      </c>
      <c r="E46" s="8">
        <f t="shared" si="0"/>
        <v>63383.619999999995</v>
      </c>
      <c r="F46" s="10" t="s">
        <v>204</v>
      </c>
    </row>
    <row r="47" spans="1:11" s="10" customFormat="1" x14ac:dyDescent="0.25">
      <c r="A47" s="9" t="s">
        <v>44</v>
      </c>
      <c r="B47" s="10" t="s">
        <v>97</v>
      </c>
      <c r="C47" s="8">
        <f>39178.9+47634.57</f>
        <v>86813.47</v>
      </c>
      <c r="D47" s="8">
        <v>0</v>
      </c>
      <c r="E47" s="8">
        <f t="shared" si="0"/>
        <v>86813.47</v>
      </c>
    </row>
    <row r="48" spans="1:11" s="10" customFormat="1" x14ac:dyDescent="0.25">
      <c r="A48" s="9" t="s">
        <v>45</v>
      </c>
      <c r="B48" s="10" t="s">
        <v>97</v>
      </c>
      <c r="C48" s="8">
        <f>34990.64+2052.92</f>
        <v>37043.56</v>
      </c>
      <c r="D48" s="8">
        <v>0</v>
      </c>
      <c r="E48" s="8">
        <f t="shared" si="0"/>
        <v>37043.56</v>
      </c>
      <c r="F48" s="10" t="s">
        <v>205</v>
      </c>
    </row>
    <row r="49" spans="1:11" s="10" customFormat="1" x14ac:dyDescent="0.25">
      <c r="A49" s="9" t="s">
        <v>47</v>
      </c>
      <c r="B49" s="10" t="s">
        <v>97</v>
      </c>
      <c r="C49" s="8">
        <f>44609.2+51030.7+717</f>
        <v>96356.9</v>
      </c>
      <c r="D49" s="8">
        <v>55.02</v>
      </c>
      <c r="E49" s="8">
        <f t="shared" si="0"/>
        <v>96301.87999999999</v>
      </c>
      <c r="F49" s="10" t="s">
        <v>204</v>
      </c>
      <c r="G49" s="10" t="s">
        <v>130</v>
      </c>
      <c r="K49" s="10" t="s">
        <v>133</v>
      </c>
    </row>
    <row r="50" spans="1:11" s="10" customFormat="1" x14ac:dyDescent="0.25">
      <c r="A50" s="9" t="s">
        <v>48</v>
      </c>
      <c r="B50" s="10" t="s">
        <v>97</v>
      </c>
      <c r="C50" s="8">
        <f>94322.71+110772.39</f>
        <v>205095.1</v>
      </c>
      <c r="D50" s="8">
        <v>11969.86</v>
      </c>
      <c r="E50" s="8">
        <f t="shared" si="0"/>
        <v>193125.24</v>
      </c>
      <c r="G50" s="10" t="s">
        <v>206</v>
      </c>
      <c r="H50" s="10" t="s">
        <v>207</v>
      </c>
    </row>
    <row r="51" spans="1:11" s="10" customFormat="1" x14ac:dyDescent="0.25">
      <c r="A51" s="9" t="s">
        <v>46</v>
      </c>
      <c r="B51" s="10" t="s">
        <v>97</v>
      </c>
      <c r="C51" s="8">
        <f>235278.63+326876.62</f>
        <v>562155.25</v>
      </c>
      <c r="D51" s="8">
        <v>277434</v>
      </c>
      <c r="E51" s="8">
        <f t="shared" si="0"/>
        <v>284721.25</v>
      </c>
      <c r="G51" s="10" t="s">
        <v>208</v>
      </c>
      <c r="H51" s="10" t="s">
        <v>209</v>
      </c>
      <c r="K51" s="10" t="s">
        <v>210</v>
      </c>
    </row>
    <row r="52" spans="1:11" s="10" customFormat="1" x14ac:dyDescent="0.25">
      <c r="A52" s="9" t="s">
        <v>49</v>
      </c>
      <c r="B52" s="10" t="s">
        <v>97</v>
      </c>
      <c r="C52" s="8">
        <f>96417.32+108282.31</f>
        <v>204699.63</v>
      </c>
      <c r="D52" s="8">
        <v>0</v>
      </c>
      <c r="E52" s="8">
        <f t="shared" si="0"/>
        <v>204699.63</v>
      </c>
    </row>
    <row r="53" spans="1:11" s="10" customFormat="1" x14ac:dyDescent="0.25">
      <c r="A53" s="9" t="s">
        <v>52</v>
      </c>
      <c r="B53" s="10" t="s">
        <v>97</v>
      </c>
      <c r="C53" s="8">
        <f>657111.81+777630.75</f>
        <v>1434742.56</v>
      </c>
      <c r="D53" s="8">
        <v>10000</v>
      </c>
      <c r="E53" s="8">
        <f>C53-D53</f>
        <v>1424742.56</v>
      </c>
      <c r="G53" s="10" t="s">
        <v>211</v>
      </c>
    </row>
    <row r="54" spans="1:11" s="10" customFormat="1" x14ac:dyDescent="0.25">
      <c r="A54" s="9" t="s">
        <v>53</v>
      </c>
      <c r="B54" s="10" t="s">
        <v>97</v>
      </c>
      <c r="C54" s="8">
        <f>65389.64+74634.99</f>
        <v>140024.63</v>
      </c>
      <c r="D54" s="8">
        <v>0</v>
      </c>
      <c r="E54" s="8">
        <f t="shared" si="0"/>
        <v>140024.63</v>
      </c>
    </row>
    <row r="55" spans="1:11" s="10" customFormat="1" x14ac:dyDescent="0.25">
      <c r="A55" s="9" t="s">
        <v>51</v>
      </c>
      <c r="B55" s="10" t="s">
        <v>97</v>
      </c>
      <c r="C55" s="8">
        <f>33331.44+38011.52</f>
        <v>71342.959999999992</v>
      </c>
      <c r="D55" s="8">
        <v>459</v>
      </c>
      <c r="E55" s="8">
        <f t="shared" si="0"/>
        <v>70883.959999999992</v>
      </c>
    </row>
    <row r="56" spans="1:11" s="10" customFormat="1" x14ac:dyDescent="0.25">
      <c r="A56" s="9" t="s">
        <v>50</v>
      </c>
      <c r="B56" s="10" t="s">
        <v>97</v>
      </c>
      <c r="C56" s="8">
        <f>58613.25+66843.2</f>
        <v>125456.45</v>
      </c>
      <c r="D56" s="8">
        <v>0</v>
      </c>
      <c r="E56" s="8">
        <f t="shared" si="0"/>
        <v>125456.45</v>
      </c>
    </row>
    <row r="57" spans="1:11" s="10" customFormat="1" x14ac:dyDescent="0.25">
      <c r="A57" s="9" t="s">
        <v>54</v>
      </c>
      <c r="B57" s="10" t="s">
        <v>97</v>
      </c>
      <c r="C57" s="8">
        <f>66744.4+590091.61</f>
        <v>656836.01</v>
      </c>
      <c r="D57" s="8">
        <v>55000</v>
      </c>
      <c r="E57" s="8">
        <f>C57-D57</f>
        <v>601836.01</v>
      </c>
      <c r="F57" s="10" t="s">
        <v>212</v>
      </c>
      <c r="K57" s="10" t="s">
        <v>213</v>
      </c>
    </row>
    <row r="58" spans="1:11" x14ac:dyDescent="0.25">
      <c r="A58" s="1" t="s">
        <v>55</v>
      </c>
      <c r="B58" t="s">
        <v>97</v>
      </c>
      <c r="C58" s="8">
        <f>1247463.21+1478449.11</f>
        <v>2725912.3200000003</v>
      </c>
      <c r="D58" s="8">
        <v>114435.42</v>
      </c>
      <c r="E58" s="8">
        <f t="shared" si="0"/>
        <v>2611476.9000000004</v>
      </c>
      <c r="F58"/>
      <c r="G58" t="s">
        <v>183</v>
      </c>
      <c r="H58"/>
      <c r="I58"/>
      <c r="J58"/>
      <c r="K58" t="s">
        <v>141</v>
      </c>
    </row>
    <row r="59" spans="1:11" s="10" customFormat="1" x14ac:dyDescent="0.25">
      <c r="A59" s="9" t="s">
        <v>56</v>
      </c>
      <c r="B59" s="10" t="s">
        <v>97</v>
      </c>
      <c r="C59" s="8">
        <f>21536.11+64492.77</f>
        <v>86028.88</v>
      </c>
      <c r="D59" s="8">
        <v>0</v>
      </c>
      <c r="E59" s="8">
        <f t="shared" si="0"/>
        <v>86028.88</v>
      </c>
    </row>
    <row r="60" spans="1:11" s="10" customFormat="1" x14ac:dyDescent="0.25">
      <c r="A60" s="9" t="s">
        <v>59</v>
      </c>
      <c r="B60" s="10" t="s">
        <v>97</v>
      </c>
      <c r="C60" s="8">
        <f>55554.19+63354.58</f>
        <v>118908.77</v>
      </c>
      <c r="D60" s="8">
        <v>0</v>
      </c>
      <c r="E60" s="8">
        <f t="shared" si="0"/>
        <v>118908.77</v>
      </c>
    </row>
    <row r="61" spans="1:11" s="10" customFormat="1" x14ac:dyDescent="0.25">
      <c r="A61" s="9" t="s">
        <v>58</v>
      </c>
      <c r="B61" s="10" t="s">
        <v>97</v>
      </c>
      <c r="C61" s="8">
        <f>27242.48+32910.62</f>
        <v>60153.100000000006</v>
      </c>
      <c r="D61" s="8">
        <v>0</v>
      </c>
      <c r="E61" s="8">
        <f t="shared" si="0"/>
        <v>60153.100000000006</v>
      </c>
      <c r="G61" s="10" t="s">
        <v>144</v>
      </c>
      <c r="K61" s="10" t="s">
        <v>145</v>
      </c>
    </row>
    <row r="62" spans="1:11" s="10" customFormat="1" x14ac:dyDescent="0.25">
      <c r="A62" s="9" t="s">
        <v>60</v>
      </c>
      <c r="B62" s="10" t="s">
        <v>97</v>
      </c>
      <c r="C62" s="8">
        <f>67856+77383</f>
        <v>145239</v>
      </c>
      <c r="D62" s="8">
        <v>0</v>
      </c>
      <c r="E62" s="8">
        <f t="shared" si="0"/>
        <v>145239</v>
      </c>
    </row>
    <row r="63" spans="1:11" s="10" customFormat="1" x14ac:dyDescent="0.25">
      <c r="A63" s="9" t="s">
        <v>57</v>
      </c>
      <c r="B63" s="10" t="s">
        <v>97</v>
      </c>
      <c r="C63" s="8">
        <f>121311.51+137476.42</f>
        <v>258787.93</v>
      </c>
      <c r="D63" s="8">
        <v>0</v>
      </c>
      <c r="E63" s="8">
        <f t="shared" si="0"/>
        <v>258787.93</v>
      </c>
    </row>
    <row r="64" spans="1:11" s="10" customFormat="1" x14ac:dyDescent="0.25">
      <c r="A64" s="9" t="s">
        <v>61</v>
      </c>
      <c r="B64" s="10" t="s">
        <v>97</v>
      </c>
      <c r="C64" s="8">
        <f>198418.62+227803.68</f>
        <v>426222.3</v>
      </c>
      <c r="D64" s="8">
        <v>0</v>
      </c>
      <c r="E64" s="8">
        <f t="shared" si="0"/>
        <v>426222.3</v>
      </c>
    </row>
    <row r="65" spans="1:11" s="10" customFormat="1" x14ac:dyDescent="0.25">
      <c r="A65" s="9" t="s">
        <v>65</v>
      </c>
      <c r="B65" s="10" t="s">
        <v>97</v>
      </c>
      <c r="C65" s="8">
        <f>174437.03+198929.82</f>
        <v>373366.85</v>
      </c>
      <c r="D65" s="8">
        <v>0</v>
      </c>
      <c r="E65" s="8">
        <f t="shared" si="0"/>
        <v>373366.85</v>
      </c>
    </row>
    <row r="66" spans="1:11" s="10" customFormat="1" x14ac:dyDescent="0.25">
      <c r="A66" s="9" t="s">
        <v>62</v>
      </c>
      <c r="B66" s="10" t="s">
        <v>97</v>
      </c>
      <c r="C66" s="8">
        <f>83269.24+94961.12</f>
        <v>178230.36</v>
      </c>
      <c r="D66" s="8">
        <v>19312.91</v>
      </c>
      <c r="E66" s="8">
        <f t="shared" si="0"/>
        <v>158917.44999999998</v>
      </c>
    </row>
    <row r="67" spans="1:11" s="10" customFormat="1" x14ac:dyDescent="0.25">
      <c r="A67" s="9" t="s">
        <v>64</v>
      </c>
      <c r="B67" s="10" t="s">
        <v>97</v>
      </c>
      <c r="C67" s="8">
        <f>28264.95+36697.74</f>
        <v>64962.69</v>
      </c>
      <c r="D67" s="8">
        <v>5580.25</v>
      </c>
      <c r="E67" s="8">
        <f t="shared" ref="E67:E100" si="1">C67-D67</f>
        <v>59382.44</v>
      </c>
      <c r="G67" s="10" t="s">
        <v>146</v>
      </c>
      <c r="H67" s="10" t="s">
        <v>214</v>
      </c>
      <c r="I67" s="10" t="s">
        <v>148</v>
      </c>
      <c r="J67" s="10" t="s">
        <v>215</v>
      </c>
    </row>
    <row r="68" spans="1:11" s="10" customFormat="1" x14ac:dyDescent="0.25">
      <c r="A68" s="9" t="s">
        <v>63</v>
      </c>
      <c r="B68" s="10" t="s">
        <v>97</v>
      </c>
      <c r="C68" s="8">
        <f>75783.8+88978.05</f>
        <v>164761.85</v>
      </c>
      <c r="D68" s="8">
        <v>0</v>
      </c>
      <c r="E68" s="8">
        <f t="shared" si="1"/>
        <v>164761.85</v>
      </c>
      <c r="F68" s="10" t="s">
        <v>216</v>
      </c>
    </row>
    <row r="69" spans="1:11" s="10" customFormat="1" x14ac:dyDescent="0.25">
      <c r="A69" s="9" t="s">
        <v>68</v>
      </c>
      <c r="B69" s="10" t="s">
        <v>97</v>
      </c>
      <c r="C69" s="8">
        <f>37110.45+41413.99</f>
        <v>78524.44</v>
      </c>
      <c r="D69" s="8">
        <v>0</v>
      </c>
      <c r="E69" s="8">
        <v>81894.25</v>
      </c>
      <c r="F69" s="10" t="s">
        <v>108</v>
      </c>
    </row>
    <row r="70" spans="1:11" s="10" customFormat="1" x14ac:dyDescent="0.25">
      <c r="A70" s="9" t="s">
        <v>217</v>
      </c>
      <c r="B70" s="10" t="s">
        <v>97</v>
      </c>
      <c r="C70" s="8">
        <v>0</v>
      </c>
      <c r="D70" s="8">
        <v>0</v>
      </c>
      <c r="E70" s="8">
        <v>0</v>
      </c>
    </row>
    <row r="71" spans="1:11" s="10" customFormat="1" x14ac:dyDescent="0.25">
      <c r="A71" s="9" t="s">
        <v>66</v>
      </c>
      <c r="B71" s="10" t="s">
        <v>97</v>
      </c>
      <c r="C71" s="8">
        <f>178542.77+214125.47</f>
        <v>392668.24</v>
      </c>
      <c r="D71" s="8">
        <v>0</v>
      </c>
      <c r="E71" s="8">
        <f t="shared" si="1"/>
        <v>392668.24</v>
      </c>
    </row>
    <row r="72" spans="1:11" s="10" customFormat="1" x14ac:dyDescent="0.25">
      <c r="A72" s="9" t="s">
        <v>98</v>
      </c>
      <c r="B72" s="10" t="s">
        <v>97</v>
      </c>
      <c r="C72" s="8">
        <f>37079.14+45959.89</f>
        <v>83039.03</v>
      </c>
      <c r="D72" s="8">
        <v>1499.7</v>
      </c>
      <c r="E72" s="8">
        <f t="shared" si="1"/>
        <v>81539.33</v>
      </c>
      <c r="G72" s="10" t="s">
        <v>150</v>
      </c>
    </row>
    <row r="73" spans="1:11" s="10" customFormat="1" x14ac:dyDescent="0.25">
      <c r="A73" s="9" t="s">
        <v>67</v>
      </c>
      <c r="B73" s="10" t="s">
        <v>97</v>
      </c>
      <c r="C73" s="8">
        <f>52011.28+5072.48</f>
        <v>57083.759999999995</v>
      </c>
      <c r="D73" s="8">
        <v>0</v>
      </c>
      <c r="E73" s="8">
        <f t="shared" si="1"/>
        <v>57083.759999999995</v>
      </c>
    </row>
    <row r="74" spans="1:11" s="10" customFormat="1" x14ac:dyDescent="0.25">
      <c r="A74" s="9" t="s">
        <v>69</v>
      </c>
      <c r="B74" s="10" t="s">
        <v>97</v>
      </c>
      <c r="C74" s="8">
        <f>93117.48+111795</f>
        <v>204912.47999999998</v>
      </c>
      <c r="D74" s="8"/>
      <c r="E74" s="8">
        <f t="shared" si="1"/>
        <v>204912.47999999998</v>
      </c>
      <c r="K74" s="10" t="s">
        <v>218</v>
      </c>
    </row>
    <row r="75" spans="1:11" s="10" customFormat="1" x14ac:dyDescent="0.25">
      <c r="A75" s="9" t="s">
        <v>72</v>
      </c>
      <c r="B75" s="10" t="s">
        <v>97</v>
      </c>
      <c r="C75" s="8">
        <f>27197.79+31981.85</f>
        <v>59179.64</v>
      </c>
      <c r="D75" s="8">
        <v>6460.75</v>
      </c>
      <c r="E75" s="8">
        <f t="shared" si="1"/>
        <v>52718.89</v>
      </c>
    </row>
    <row r="76" spans="1:11" s="10" customFormat="1" x14ac:dyDescent="0.25">
      <c r="A76" s="9" t="s">
        <v>70</v>
      </c>
      <c r="B76" s="10" t="s">
        <v>97</v>
      </c>
      <c r="C76" s="8">
        <f>88026.69+43614.23</f>
        <v>131640.92000000001</v>
      </c>
      <c r="D76" s="8">
        <v>1200</v>
      </c>
      <c r="E76" s="8">
        <f>C76-D76</f>
        <v>130440.92000000001</v>
      </c>
      <c r="K76" s="10" t="s">
        <v>219</v>
      </c>
    </row>
    <row r="77" spans="1:11" s="10" customFormat="1" x14ac:dyDescent="0.25">
      <c r="A77" s="9" t="s">
        <v>73</v>
      </c>
      <c r="B77" s="10" t="s">
        <v>97</v>
      </c>
      <c r="C77" s="8">
        <f>19622.28+23493.52</f>
        <v>43115.8</v>
      </c>
      <c r="D77" s="8">
        <v>453</v>
      </c>
      <c r="E77" s="8">
        <f t="shared" si="1"/>
        <v>42662.8</v>
      </c>
    </row>
    <row r="78" spans="1:11" x14ac:dyDescent="0.25">
      <c r="A78" s="1" t="s">
        <v>71</v>
      </c>
      <c r="B78" t="s">
        <v>97</v>
      </c>
      <c r="C78" s="8">
        <f>3907431.98+4566648.18</f>
        <v>8474080.1600000001</v>
      </c>
      <c r="D78" s="8">
        <v>76766.509999999995</v>
      </c>
      <c r="E78" s="8">
        <f>C78-D78</f>
        <v>8397313.6500000004</v>
      </c>
      <c r="F78"/>
      <c r="G78" t="s">
        <v>182</v>
      </c>
      <c r="H78"/>
      <c r="I78"/>
      <c r="J78"/>
      <c r="K78"/>
    </row>
    <row r="79" spans="1:11" s="10" customFormat="1" x14ac:dyDescent="0.25">
      <c r="A79" s="9" t="s">
        <v>75</v>
      </c>
      <c r="B79" s="10" t="s">
        <v>97</v>
      </c>
      <c r="C79" s="8">
        <f>608398.6+726077.31</f>
        <v>1334475.9100000001</v>
      </c>
      <c r="D79" s="8">
        <v>70727</v>
      </c>
      <c r="E79" s="8">
        <f t="shared" si="1"/>
        <v>1263748.9100000001</v>
      </c>
      <c r="G79" s="10" t="s">
        <v>220</v>
      </c>
      <c r="K79" s="10" t="s">
        <v>221</v>
      </c>
    </row>
    <row r="80" spans="1:11" s="10" customFormat="1" x14ac:dyDescent="0.25">
      <c r="A80" s="9" t="s">
        <v>74</v>
      </c>
      <c r="B80" s="10" t="s">
        <v>97</v>
      </c>
      <c r="C80" s="8">
        <f>79902.65+91121.82</f>
        <v>171024.47</v>
      </c>
      <c r="D80" s="8">
        <v>0</v>
      </c>
      <c r="E80" s="8">
        <f t="shared" si="1"/>
        <v>171024.47</v>
      </c>
    </row>
    <row r="81" spans="1:11" s="10" customFormat="1" x14ac:dyDescent="0.25">
      <c r="A81" s="9" t="s">
        <v>76</v>
      </c>
      <c r="B81" s="10" t="s">
        <v>97</v>
      </c>
      <c r="C81" s="8">
        <f>20129.41+24066.34</f>
        <v>44195.75</v>
      </c>
      <c r="D81" s="8">
        <v>0</v>
      </c>
      <c r="E81" s="8">
        <f t="shared" si="1"/>
        <v>44195.75</v>
      </c>
    </row>
    <row r="82" spans="1:11" s="10" customFormat="1" x14ac:dyDescent="0.25">
      <c r="A82" s="9" t="s">
        <v>80</v>
      </c>
      <c r="B82" s="10" t="s">
        <v>97</v>
      </c>
      <c r="C82" s="8">
        <f>37043.32+42244.58</f>
        <v>79287.899999999994</v>
      </c>
      <c r="D82" s="8">
        <v>0</v>
      </c>
      <c r="E82" s="8">
        <f t="shared" si="1"/>
        <v>79287.899999999994</v>
      </c>
    </row>
    <row r="83" spans="1:11" s="10" customFormat="1" x14ac:dyDescent="0.25">
      <c r="A83" s="9" t="s">
        <v>77</v>
      </c>
      <c r="B83" s="10" t="s">
        <v>97</v>
      </c>
      <c r="C83" s="8">
        <f>1527282.27+1816388.86</f>
        <v>3343671.13</v>
      </c>
      <c r="D83" s="8">
        <v>200</v>
      </c>
      <c r="E83" s="8">
        <f>C83-D83</f>
        <v>3343471.13</v>
      </c>
    </row>
    <row r="84" spans="1:11" s="10" customFormat="1" x14ac:dyDescent="0.25">
      <c r="A84" s="9" t="s">
        <v>79</v>
      </c>
      <c r="B84" s="10" t="s">
        <v>97</v>
      </c>
      <c r="C84" s="8">
        <f>44313.24+54882.3</f>
        <v>99195.540000000008</v>
      </c>
      <c r="D84" s="8">
        <v>30213.53</v>
      </c>
      <c r="E84" s="8">
        <f>C84-D84</f>
        <v>68982.010000000009</v>
      </c>
      <c r="K84" s="10" t="s">
        <v>222</v>
      </c>
    </row>
    <row r="85" spans="1:11" s="10" customFormat="1" x14ac:dyDescent="0.25">
      <c r="A85" s="9" t="s">
        <v>81</v>
      </c>
      <c r="B85" s="10" t="s">
        <v>97</v>
      </c>
      <c r="C85" s="8">
        <f>68955.83+78637.96</f>
        <v>147593.79</v>
      </c>
      <c r="D85" s="8">
        <v>0</v>
      </c>
      <c r="E85" s="8">
        <f t="shared" si="1"/>
        <v>147593.79</v>
      </c>
      <c r="G85" s="12"/>
    </row>
    <row r="86" spans="1:11" s="10" customFormat="1" x14ac:dyDescent="0.25">
      <c r="A86" s="9" t="s">
        <v>82</v>
      </c>
      <c r="B86" s="10" t="s">
        <v>97</v>
      </c>
      <c r="C86" s="8">
        <f>364665.8+432303.82</f>
        <v>796969.62</v>
      </c>
      <c r="D86" s="8">
        <v>0</v>
      </c>
      <c r="E86" s="8">
        <f t="shared" si="1"/>
        <v>796969.62</v>
      </c>
    </row>
    <row r="87" spans="1:11" s="10" customFormat="1" x14ac:dyDescent="0.25">
      <c r="A87" s="9" t="s">
        <v>78</v>
      </c>
      <c r="B87" s="10" t="s">
        <v>97</v>
      </c>
      <c r="C87" s="8">
        <f>58068.34+66221.75</f>
        <v>124290.09</v>
      </c>
      <c r="D87" s="8">
        <v>0</v>
      </c>
      <c r="E87" s="8">
        <f t="shared" si="1"/>
        <v>124290.09</v>
      </c>
    </row>
    <row r="88" spans="1:11" s="10" customFormat="1" x14ac:dyDescent="0.25">
      <c r="A88" s="9" t="s">
        <v>84</v>
      </c>
      <c r="B88" s="10" t="s">
        <v>97</v>
      </c>
      <c r="C88" s="8">
        <f>30034.98+5942.28</f>
        <v>35977.26</v>
      </c>
      <c r="D88" s="8">
        <v>8141.17</v>
      </c>
      <c r="E88" s="8">
        <f t="shared" si="1"/>
        <v>27836.090000000004</v>
      </c>
      <c r="G88" s="10" t="s">
        <v>223</v>
      </c>
      <c r="H88" s="10" t="s">
        <v>224</v>
      </c>
    </row>
    <row r="89" spans="1:11" s="10" customFormat="1" x14ac:dyDescent="0.25">
      <c r="A89" s="9" t="s">
        <v>85</v>
      </c>
      <c r="B89" s="10" t="s">
        <v>97</v>
      </c>
      <c r="C89" s="8">
        <f>77928+88869.95</f>
        <v>166797.95000000001</v>
      </c>
      <c r="D89" s="8">
        <v>60000</v>
      </c>
      <c r="E89" s="8">
        <f t="shared" si="1"/>
        <v>106797.95000000001</v>
      </c>
      <c r="G89" s="10" t="s">
        <v>174</v>
      </c>
    </row>
    <row r="90" spans="1:11" s="10" customFormat="1" x14ac:dyDescent="0.25">
      <c r="A90" s="9" t="s">
        <v>83</v>
      </c>
      <c r="B90" s="10" t="s">
        <v>97</v>
      </c>
      <c r="C90" s="8">
        <f>24528.06+29365.38</f>
        <v>53893.440000000002</v>
      </c>
      <c r="D90" s="8">
        <v>9255</v>
      </c>
      <c r="E90" s="8">
        <f t="shared" si="1"/>
        <v>44638.44</v>
      </c>
      <c r="G90" s="10" t="s">
        <v>225</v>
      </c>
      <c r="K90" s="10" t="s">
        <v>226</v>
      </c>
    </row>
    <row r="91" spans="1:11" s="10" customFormat="1" x14ac:dyDescent="0.25">
      <c r="A91" s="9" t="s">
        <v>86</v>
      </c>
      <c r="B91" s="10" t="s">
        <v>97</v>
      </c>
      <c r="C91" s="8">
        <f>168766.7+192463.31</f>
        <v>361230.01</v>
      </c>
      <c r="D91" s="8">
        <v>0</v>
      </c>
      <c r="E91" s="8">
        <f t="shared" si="1"/>
        <v>361230.01</v>
      </c>
    </row>
    <row r="92" spans="1:11" s="10" customFormat="1" x14ac:dyDescent="0.25">
      <c r="A92" s="9" t="s">
        <v>89</v>
      </c>
      <c r="B92" s="10" t="s">
        <v>97</v>
      </c>
      <c r="C92" s="8">
        <f>224142.88+1300+255614.87</f>
        <v>481057.75</v>
      </c>
      <c r="D92" s="8">
        <v>48875.6</v>
      </c>
      <c r="E92" s="8">
        <f t="shared" si="1"/>
        <v>432182.15</v>
      </c>
      <c r="G92" s="10" t="s">
        <v>227</v>
      </c>
      <c r="H92" s="10" t="s">
        <v>228</v>
      </c>
      <c r="I92" s="10" t="s">
        <v>229</v>
      </c>
    </row>
    <row r="93" spans="1:11" s="10" customFormat="1" x14ac:dyDescent="0.25">
      <c r="A93" s="9" t="s">
        <v>87</v>
      </c>
      <c r="B93" s="10" t="s">
        <v>97</v>
      </c>
      <c r="C93" s="8">
        <f>93309.68+112897.51</f>
        <v>206207.19</v>
      </c>
      <c r="D93" s="8">
        <v>0</v>
      </c>
      <c r="E93" s="8">
        <f t="shared" si="1"/>
        <v>206207.19</v>
      </c>
    </row>
    <row r="94" spans="1:11" s="10" customFormat="1" x14ac:dyDescent="0.25">
      <c r="A94" s="9" t="s">
        <v>90</v>
      </c>
      <c r="B94" s="10" t="s">
        <v>97</v>
      </c>
      <c r="C94" s="8">
        <f>36078.92+49091.22</f>
        <v>85170.14</v>
      </c>
      <c r="D94" s="8">
        <v>10000</v>
      </c>
      <c r="E94" s="8">
        <f t="shared" si="1"/>
        <v>75170.14</v>
      </c>
      <c r="G94" s="10" t="s">
        <v>230</v>
      </c>
    </row>
    <row r="95" spans="1:11" s="10" customFormat="1" x14ac:dyDescent="0.25">
      <c r="A95" s="9" t="s">
        <v>88</v>
      </c>
      <c r="B95" s="10" t="s">
        <v>97</v>
      </c>
      <c r="C95" s="8">
        <f>263655.99+313011.58</f>
        <v>576667.57000000007</v>
      </c>
      <c r="D95" s="8">
        <v>76989.990000000005</v>
      </c>
      <c r="E95" s="8">
        <f t="shared" si="1"/>
        <v>499677.58000000007</v>
      </c>
      <c r="G95" s="10" t="s">
        <v>231</v>
      </c>
      <c r="H95" s="10" t="s">
        <v>233</v>
      </c>
      <c r="I95" s="10" t="s">
        <v>232</v>
      </c>
    </row>
    <row r="96" spans="1:11" s="10" customFormat="1" x14ac:dyDescent="0.25">
      <c r="A96" s="9" t="s">
        <v>91</v>
      </c>
      <c r="B96" s="10" t="s">
        <v>97</v>
      </c>
      <c r="C96" s="8">
        <f>39395.62+47126.54</f>
        <v>86522.16</v>
      </c>
      <c r="D96" s="8">
        <v>3684.25</v>
      </c>
      <c r="E96" s="8">
        <f>C96-D96</f>
        <v>82837.91</v>
      </c>
      <c r="G96" s="10" t="s">
        <v>234</v>
      </c>
    </row>
    <row r="97" spans="1:11" s="10" customFormat="1" x14ac:dyDescent="0.25">
      <c r="A97" s="9" t="s">
        <v>94</v>
      </c>
      <c r="B97" s="10" t="s">
        <v>97</v>
      </c>
      <c r="C97" s="8">
        <f>58582.59+71388.05</f>
        <v>129970.64</v>
      </c>
      <c r="D97" s="8">
        <v>0</v>
      </c>
      <c r="E97" s="8">
        <f t="shared" si="1"/>
        <v>129970.64</v>
      </c>
      <c r="G97" s="10" t="s">
        <v>152</v>
      </c>
    </row>
    <row r="98" spans="1:11" s="10" customFormat="1" x14ac:dyDescent="0.25">
      <c r="A98" s="9" t="s">
        <v>92</v>
      </c>
      <c r="B98" s="10" t="s">
        <v>97</v>
      </c>
      <c r="C98" s="8">
        <f>431943.74+512479.58</f>
        <v>944423.32000000007</v>
      </c>
      <c r="D98" s="8">
        <v>0</v>
      </c>
      <c r="E98" s="8">
        <f t="shared" si="1"/>
        <v>944423.32000000007</v>
      </c>
    </row>
    <row r="99" spans="1:11" s="10" customFormat="1" x14ac:dyDescent="0.25">
      <c r="A99" s="9" t="s">
        <v>93</v>
      </c>
      <c r="B99" s="10" t="s">
        <v>97</v>
      </c>
      <c r="C99" s="8">
        <f>39481.95+45025.63+1996.3</f>
        <v>86503.87999999999</v>
      </c>
      <c r="D99" s="8">
        <v>3452.78</v>
      </c>
      <c r="E99" s="8">
        <f t="shared" si="1"/>
        <v>83051.099999999991</v>
      </c>
    </row>
    <row r="100" spans="1:11" s="10" customFormat="1" x14ac:dyDescent="0.25">
      <c r="A100" s="9" t="s">
        <v>95</v>
      </c>
      <c r="B100" s="10" t="s">
        <v>97</v>
      </c>
      <c r="C100" s="8">
        <f>44185.31+53947.06</f>
        <v>98132.37</v>
      </c>
      <c r="D100" s="8">
        <v>3263.91</v>
      </c>
      <c r="E100" s="8">
        <f t="shared" si="1"/>
        <v>94868.459999999992</v>
      </c>
      <c r="G100" s="10" t="s">
        <v>153</v>
      </c>
      <c r="H100" s="10" t="s">
        <v>235</v>
      </c>
      <c r="I100" s="10" t="s">
        <v>148</v>
      </c>
      <c r="J100" s="10" t="s">
        <v>236</v>
      </c>
      <c r="K100" s="10" t="s">
        <v>237</v>
      </c>
    </row>
    <row r="101" spans="1:11" x14ac:dyDescent="0.25">
      <c r="C101" s="7">
        <f>SUM(C2:C100)</f>
        <v>36634326.009999998</v>
      </c>
      <c r="D101" s="7">
        <f>SUM(D2:D100)</f>
        <v>1683990.16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FY2023</vt:lpstr>
      <vt:lpstr>FY2024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Pearson, William [AG]</dc:creator>
  <cp:lastModifiedBy>Wilke-Brown, Monica [HHS]</cp:lastModifiedBy>
  <dcterms:created xsi:type="dcterms:W3CDTF">2023-10-23T19:58:50Z</dcterms:created>
  <dcterms:modified xsi:type="dcterms:W3CDTF">2025-04-23T17:14:21Z</dcterms:modified>
</cp:coreProperties>
</file>